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<sst xmlns="http://schemas.openxmlformats.org/spreadsheetml/2006/main" count="204" uniqueCount="165">
  <si>
    <t>Код</t>
  </si>
  <si>
    <t>Общегосударственные вопросы</t>
  </si>
  <si>
    <t>Судебная система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</si>
  <si>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</si>
  <si>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</si>
  <si>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</si>
  <si>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</si>
  <si>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</si>
  <si>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</si>
  <si>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</si>
  <si>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</si>
  <si>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</si>
  <si>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</si>
  <si>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</si>
  <si>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</si>
  <si>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</si>
  <si>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</si>
  <si>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</si>
  <si>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</si>
  <si>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</si>
  <si>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</si>
  <si>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</si>
  <si>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</si>
  <si>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</si>
  <si>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</si>
  <si>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</si>
  <si>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</si>
  <si>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</si>
  <si>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</si>
  <si>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</si>
  <si>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</si>
  <si>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Периодическая печать и издательства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</si>
  <si>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</si>
  <si>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</si>
  <si>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</si>
  <si>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</si>
  <si>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</si>
  <si>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</si>
  <si>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Наименование</t>
  </si>
  <si>
    <t>ВСЕГО</t>
  </si>
  <si>
    <t>ПРОФИЦИТ/ДЕФИЦИТ</t>
  </si>
  <si>
    <t>0100</t>
  </si>
  <si>
    <t>0102</t>
  </si>
  <si>
    <t>0103</t>
  </si>
  <si>
    <t>0104</t>
  </si>
  <si>
    <t>0105</t>
  </si>
  <si>
    <t>0106</t>
  </si>
  <si>
    <t>0107</t>
  </si>
  <si>
    <t>0112</t>
  </si>
  <si>
    <t>0200</t>
  </si>
  <si>
    <t>0300</t>
  </si>
  <si>
    <t>0302</t>
  </si>
  <si>
    <t>0309</t>
  </si>
  <si>
    <t>0310</t>
  </si>
  <si>
    <t>0400</t>
  </si>
  <si>
    <t>0401</t>
  </si>
  <si>
    <t>0402</t>
  </si>
  <si>
    <t>0404</t>
  </si>
  <si>
    <t>0405</t>
  </si>
  <si>
    <t>0408</t>
  </si>
  <si>
    <t>0409</t>
  </si>
  <si>
    <t>0500</t>
  </si>
  <si>
    <t>0600</t>
  </si>
  <si>
    <t>0700</t>
  </si>
  <si>
    <t>0702</t>
  </si>
  <si>
    <t>0703</t>
  </si>
  <si>
    <t>0704</t>
  </si>
  <si>
    <t>0705</t>
  </si>
  <si>
    <t>0707</t>
  </si>
  <si>
    <t>0709</t>
  </si>
  <si>
    <t>0800</t>
  </si>
  <si>
    <t>0801</t>
  </si>
  <si>
    <t>0804</t>
  </si>
  <si>
    <t>0806</t>
  </si>
  <si>
    <t>0900</t>
  </si>
  <si>
    <t>0901</t>
  </si>
  <si>
    <t>0902</t>
  </si>
  <si>
    <t>0904</t>
  </si>
  <si>
    <t>1000</t>
  </si>
  <si>
    <t>0407</t>
  </si>
  <si>
    <t>0502</t>
  </si>
  <si>
    <t>итого</t>
  </si>
  <si>
    <t>Запруднова</t>
  </si>
  <si>
    <t>АПК</t>
  </si>
  <si>
    <t>госдолг</t>
  </si>
  <si>
    <t>Соцсфера</t>
  </si>
  <si>
    <t>Итого</t>
  </si>
  <si>
    <t>Гредасова</t>
  </si>
  <si>
    <t>0406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</si>
  <si>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</si>
  <si>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</si>
  <si>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0114</t>
  </si>
  <si>
    <t>0204</t>
  </si>
  <si>
    <t>Обеспечение пожарной безопасности</t>
  </si>
  <si>
    <t>0412</t>
  </si>
  <si>
    <t>0501</t>
  </si>
  <si>
    <t>0505</t>
  </si>
  <si>
    <t>0605</t>
  </si>
  <si>
    <t>Профессиональная подготовка, переподготовка и повышение квалификации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</si>
  <si>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</si>
  <si>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</si>
  <si>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</si>
  <si>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0903</t>
  </si>
  <si>
    <t>Медицинская помощь в дневных стационарах всех типов</t>
  </si>
  <si>
    <t>Скорая медицинская помощь</t>
  </si>
  <si>
    <t>0905</t>
  </si>
  <si>
    <t>Санаторно-оздоровительная помощь</t>
  </si>
  <si>
    <t>0906</t>
  </si>
  <si>
    <t>0907</t>
  </si>
  <si>
    <t>Санитарно-эпидемиологическое благополучие</t>
  </si>
  <si>
    <t>0908</t>
  </si>
  <si>
    <t>Физическая культура и спорт</t>
  </si>
  <si>
    <t>Другие вопросы в области здравоохранения, физической культуры и спорта</t>
  </si>
  <si>
    <t>0910</t>
  </si>
  <si>
    <t>1102</t>
  </si>
  <si>
    <t>1103</t>
  </si>
  <si>
    <t>1104</t>
  </si>
  <si>
    <t>Иные межбюджетные трансферты</t>
  </si>
  <si>
    <t>1105</t>
  </si>
  <si>
    <t>Межбюджетные трансферты бюджетам государственных внебюджетных фондов</t>
  </si>
  <si>
    <t>0111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</si>
  <si>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</si>
  <si>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</si>
  <si>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</si>
  <si>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ИТОГО</t>
  </si>
  <si>
    <t xml:space="preserve">Расходы за счет средств от предпринимательской и иной приносящей доход деятельности </t>
  </si>
  <si>
    <t>Культура, кинематография, средства массовой информации</t>
  </si>
  <si>
    <t>Другие вопросы в области культуры, кинематографии, средств массовой информации</t>
  </si>
  <si>
    <t>Охрана семьи и детства</t>
  </si>
  <si>
    <t>кокорин</t>
  </si>
  <si>
    <t>Заготовка, переработка, хранение и обеспечение безопасности донорской крови и ее компонентов</t>
  </si>
  <si>
    <t>Защита населения  и территории от чрезвычайных ситуаций природного и техногенного характера, гражданская оборона</t>
  </si>
  <si>
    <t>Условно утвержденные расходы</t>
  </si>
  <si>
    <t xml:space="preserve">2009 год           (тыс. руб.)            </t>
  </si>
  <si>
    <t xml:space="preserve">2010 год             (тыс. руб.)           </t>
  </si>
  <si>
    <t xml:space="preserve">2011 год             (тыс. руб.)      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</si>
  <si>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</si>
  <si>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поправки</t>
  </si>
  <si>
    <t>к Закону Ярославской области</t>
  </si>
  <si>
    <t>Топливно-энергетический комплекс</t>
  </si>
  <si>
    <t>уточнение</t>
  </si>
  <si>
    <t>Дорожники</t>
  </si>
  <si>
    <t xml:space="preserve">Власть </t>
  </si>
  <si>
    <t>Гаврилова</t>
  </si>
  <si>
    <t>Баулина</t>
  </si>
  <si>
    <t>Водное хозяйство</t>
  </si>
  <si>
    <t>Уточнение апрель</t>
  </si>
  <si>
    <t xml:space="preserve">запруднова </t>
  </si>
  <si>
    <t xml:space="preserve">Межбюджет </t>
  </si>
  <si>
    <t>Расходы областного бюджета на 2009 год по разделам и подразделам классификации расходов бюджетов Российской Федерации</t>
  </si>
  <si>
    <t xml:space="preserve">План               (тыс. руб.)            </t>
  </si>
  <si>
    <t>Дорожное хозяйство</t>
  </si>
  <si>
    <t>уточнение август</t>
  </si>
  <si>
    <t>гредасова</t>
  </si>
  <si>
    <t>власть</t>
  </si>
  <si>
    <t>соцсфера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</si>
  <si>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</si>
  <si>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кокрин</t>
  </si>
  <si>
    <t>органы</t>
  </si>
  <si>
    <t>местное</t>
  </si>
  <si>
    <t>баулина</t>
  </si>
  <si>
    <t>запруднова</t>
  </si>
  <si>
    <t>дорожники</t>
  </si>
  <si>
    <t>Приложение 1</t>
  </si>
  <si>
    <t>от 25.12.2009 № 73-з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</si>
</sst>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0">
    <xf numFmtId="0" fontId="0" fillId="0" borderId="0" xfId="0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wrapText="1"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49" fontId="1" fillId="0" borderId="0" xfId="0" applyNumberFormat="1" applyFont="1" applyFill="1" applyAlignment="1">
      <alignment horizontal="right" wrapText="1"/>
    </xf>
    <xf numFmtId="49" fontId="1" fillId="0" borderId="0" xfId="0" applyNumberFormat="1" applyFont="1" applyFill="1" applyAlignment="1">
      <alignment horizontal="justify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vstigneeva\Local%20Settings\Temporary%20Internet%20Files\OLK4\&#1055;&#1088;&#1080;&#1083;&#1086;&#1078;&#1077;&#1085;&#1080;&#1077;%201%20&#1076;&#1086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1\LOCALS~1\Temp\&#1087;&#1088;&#1080;&#1083;&#1086;&#1078;&#1077;&#1085;&#1080;&#1077;%201%20&#1076;&#1086;&#109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73;&#1102;&#1076;&#1078;&#1077;&#1090;%202009-2011\6%20&#1048;&#1102;&#1085;&#1100;\&#1060;&#1086;&#1088;&#1084;&#1099;%20&#1079;&#1072;&#1087;&#1086;&#1083;&#1085;&#1077;&#1085;&#1085;&#1099;&#1077;\&#1087;&#1088;&#1080;&#1083;&#1086;&#1078;&#1077;&#1085;&#1080;&#1077;%201-&#1076;&#1086;&#1093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73;&#1102;&#1076;&#1078;&#1077;&#1090;%202009-2011\9%20&#1089;&#1077;&#1085;&#1090;&#1103;&#1073;&#1088;&#1100;\&#1054;&#1082;&#1086;&#1085;&#1095;&#1072;&#1090;&#1077;&#1083;&#1100;&#1085;&#1099;&#1081;%20&#1079;&#1072;&#1082;&#1086;&#1085;\&#1087;&#1088;&#1080;&#1083;&#1086;&#1078;&#1077;&#1085;&#1080;&#1077;%201-&#1076;&#1086;&#1093;..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73;&#1102;&#1076;&#1078;&#1077;&#1090;%202009-2011\11%20&#1085;&#1086;&#1103;&#1073;&#1088;&#1100;\&#1042;%20&#1044;&#1091;&#1084;&#1091;\&#1087;&#1088;&#1080;&#1083;&#1086;&#1078;&#1077;&#1085;&#1080;&#1077;%203%20&#1094;&#1077;&#1083;&#1080;%20&#1080;%20&#1074;&#1080;&#1076;&#109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2\Guzhov\&#1086;&#1090;&#1095;&#1077;&#1090;&#1099;%20&#1080;%20&#1073;&#1102;&#1076;&#1078;&#1077;&#1090;&#1099;\&#1073;&#1102;&#1076;&#1078;&#1077;&#1090;&#1099;\&#1073;&#1102;&#1076;&#1078;&#1077;&#1090;%202009-2011\11%20&#1085;&#1086;&#1103;&#1073;&#1088;&#1100;\&#1042;%20&#1044;&#1091;&#1084;&#1091;\&#1087;&#1088;&#1080;&#1083;&#1086;&#1078;&#1077;&#1085;&#1080;&#1077;%201%20&#1076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06">
          <cell r="E106">
            <v>38695530</v>
          </cell>
        </row>
        <row r="146">
          <cell r="U146">
            <v>138912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5">
          <cell r="D125">
            <v>2622987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7">
          <cell r="E127">
            <v>40908414</v>
          </cell>
          <cell r="F127">
            <v>-3441878</v>
          </cell>
        </row>
        <row r="129">
          <cell r="G129">
            <v>38329420</v>
          </cell>
          <cell r="N129">
            <v>574914</v>
          </cell>
          <cell r="O129">
            <v>38904334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2">
          <cell r="Q142">
            <v>1435227</v>
          </cell>
          <cell r="R142">
            <v>40339561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082">
          <cell r="W2082">
            <v>43216667</v>
          </cell>
          <cell r="X2082">
            <v>470393</v>
          </cell>
          <cell r="Y2082">
            <v>43687060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45">
          <cell r="T145">
            <v>42164797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tabSelected="1" zoomScaleSheetLayoutView="100" zoomScalePageLayoutView="0" workbookViewId="0" topLeftCell="A1">
      <selection activeCell="B9" sqref="B9"/>
    </sheetView>
  </sheetViews>
  <sheetFormatPr defaultColWidth="11.875" defaultRowHeight="12.75"/>
  <cols>
    <col min="1" max="1" width="14.25390625" style="18" customWidth="1"/>
    <col min="2" max="2" width="62.125" style="2" customWidth="1"/>
    <col min="3" max="3" width="12.375" style="4" hidden="1" customWidth="1"/>
    <col min="4" max="4" width="10.875" style="4" hidden="1" customWidth="1"/>
    <col min="5" max="5" width="13.875" style="4" hidden="1" customWidth="1"/>
    <col min="6" max="6" width="11.75390625" style="4" hidden="1" customWidth="1"/>
    <col min="7" max="7" width="13.75390625" style="4" hidden="1" customWidth="1"/>
    <col min="8" max="8" width="15.00390625" style="4" hidden="1" customWidth="1"/>
    <col min="9" max="9" width="2.625" style="4" hidden="1" customWidth="1"/>
    <col min="10" max="10" width="14.375" style="4" hidden="1" customWidth="1"/>
    <col min="11" max="11" width="11.00390625" style="4" hidden="1" customWidth="1"/>
    <col min="12" max="12" width="11.75390625" style="4" hidden="1" customWidth="1"/>
    <col min="13" max="13" width="14.75390625" style="4" hidden="1" customWidth="1"/>
    <col min="14" max="15" width="13.125" style="4" hidden="1" customWidth="1"/>
    <col min="16" max="16" width="11.75390625" style="4" hidden="1" customWidth="1"/>
    <col min="17" max="17" width="13.00390625" style="4" hidden="1" customWidth="1"/>
    <col min="18" max="18" width="12.25390625" style="4" hidden="1" customWidth="1"/>
    <col min="19" max="19" width="11.125" style="4" hidden="1" customWidth="1"/>
    <col min="20" max="20" width="13.00390625" style="4" hidden="1" customWidth="1"/>
    <col min="21" max="21" width="11.125" style="4" hidden="1" customWidth="1"/>
    <col min="22" max="22" width="13.00390625" style="4" hidden="1" customWidth="1"/>
    <col min="23" max="23" width="11.125" style="4" hidden="1" customWidth="1"/>
    <col min="24" max="24" width="13.00390625" style="4" customWidth="1"/>
    <col min="25" max="16384" width="11.875" style="4" customWidth="1"/>
  </cols>
  <sheetData>
    <row r="1" spans="1:24" s="2" customFormat="1" ht="18.75" customHeight="1">
      <c r="A1" s="23" t="s">
        <v>163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s="2" customFormat="1" ht="17.25" customHeight="1">
      <c r="A2" s="23" t="s">
        <v>138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1:24" s="2" customFormat="1" ht="18.75" customHeight="1">
      <c r="A3" s="23" t="s">
        <v>164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" s="2" customFormat="1" ht="18.75" customHeight="1" hidden="1">
      <c r="A4" s="23"/>
      <c r="B4" s="23"/>
    </row>
    <row r="5" spans="1:24" s="2" customFormat="1" ht="15.75" hidden="1">
      <c r="A5" s="10"/>
      <c r="B5" s="9"/>
      <c r="C5" s="9"/>
      <c r="D5" s="9"/>
      <c r="E5" s="9"/>
      <c r="F5" s="9"/>
      <c r="G5" s="9"/>
      <c r="K5" s="9"/>
      <c r="L5" s="9"/>
      <c r="P5" s="9"/>
      <c r="Q5" s="9"/>
      <c r="R5" s="9"/>
      <c r="S5" s="9"/>
      <c r="T5" s="9"/>
      <c r="U5" s="9"/>
      <c r="V5" s="9"/>
      <c r="W5" s="9"/>
      <c r="X5" s="9"/>
    </row>
    <row r="6" spans="1:24" s="2" customFormat="1" ht="15.75">
      <c r="A6" s="10"/>
      <c r="B6" s="9"/>
      <c r="C6" s="9"/>
      <c r="D6" s="9"/>
      <c r="E6" s="9"/>
      <c r="F6" s="9"/>
      <c r="G6" s="9"/>
      <c r="K6" s="9"/>
      <c r="L6" s="9"/>
      <c r="P6" s="9"/>
      <c r="Q6" s="9"/>
      <c r="R6" s="9"/>
      <c r="S6" s="9"/>
      <c r="T6" s="9"/>
      <c r="U6" s="9"/>
      <c r="V6" s="9"/>
      <c r="W6" s="9"/>
      <c r="X6" s="9"/>
    </row>
    <row r="7" spans="1:24" s="2" customFormat="1" ht="53.25" customHeight="1">
      <c r="A7" s="29" t="s">
        <v>149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="2" customFormat="1" ht="15.75">
      <c r="A8" s="11"/>
    </row>
    <row r="9" spans="1:24" s="15" customFormat="1" ht="34.5" customHeight="1">
      <c r="A9" s="12" t="s">
        <v>0</v>
      </c>
      <c r="B9" s="13" t="s">
        <v>38</v>
      </c>
      <c r="C9" s="14" t="s">
        <v>133</v>
      </c>
      <c r="D9" s="14" t="s">
        <v>140</v>
      </c>
      <c r="E9" s="14" t="s">
        <v>133</v>
      </c>
      <c r="F9" s="14" t="s">
        <v>146</v>
      </c>
      <c r="G9" s="14" t="s">
        <v>150</v>
      </c>
      <c r="H9" s="14" t="s">
        <v>135</v>
      </c>
      <c r="I9" s="14" t="s">
        <v>137</v>
      </c>
      <c r="J9" s="14" t="s">
        <v>134</v>
      </c>
      <c r="K9" s="14" t="s">
        <v>140</v>
      </c>
      <c r="L9" s="14" t="s">
        <v>134</v>
      </c>
      <c r="M9" s="14" t="s">
        <v>135</v>
      </c>
      <c r="N9" s="14" t="s">
        <v>140</v>
      </c>
      <c r="O9" s="14" t="s">
        <v>135</v>
      </c>
      <c r="P9" s="14" t="s">
        <v>146</v>
      </c>
      <c r="Q9" s="14" t="s">
        <v>150</v>
      </c>
      <c r="R9" s="14" t="s">
        <v>150</v>
      </c>
      <c r="S9" s="14" t="s">
        <v>152</v>
      </c>
      <c r="T9" s="14" t="s">
        <v>150</v>
      </c>
      <c r="U9" s="13" t="s">
        <v>140</v>
      </c>
      <c r="V9" s="14" t="s">
        <v>150</v>
      </c>
      <c r="W9" s="14" t="s">
        <v>140</v>
      </c>
      <c r="X9" s="14" t="s">
        <v>150</v>
      </c>
    </row>
    <row r="10" spans="1:24" s="8" customFormat="1" ht="15.75">
      <c r="A10" s="16" t="s">
        <v>41</v>
      </c>
      <c r="B10" s="5" t="s">
        <v>1</v>
      </c>
      <c r="C10" s="1">
        <v>2312916</v>
      </c>
      <c r="D10" s="1">
        <f>SUM(D11:D19)</f>
        <v>7951</v>
      </c>
      <c r="E10" s="1">
        <f>C10+D10</f>
        <v>2320867</v>
      </c>
      <c r="F10" s="1">
        <f>SUM(F11:F19)</f>
        <v>-27599</v>
      </c>
      <c r="G10" s="1">
        <f>E10+F10</f>
        <v>2293268</v>
      </c>
      <c r="H10" s="1">
        <f>SUM(H11:H19)</f>
        <v>3134867</v>
      </c>
      <c r="I10" s="1">
        <f>SUM(I11:I19)</f>
        <v>0</v>
      </c>
      <c r="J10" s="1">
        <v>2949498</v>
      </c>
      <c r="K10" s="1">
        <f>SUM(K11:K19)</f>
        <v>0</v>
      </c>
      <c r="L10" s="1">
        <f>J10+K10</f>
        <v>2949498</v>
      </c>
      <c r="M10" s="1">
        <v>3134867</v>
      </c>
      <c r="N10" s="1">
        <f>SUM(N11:N19)</f>
        <v>0</v>
      </c>
      <c r="O10" s="1">
        <f>M10+N10</f>
        <v>3134867</v>
      </c>
      <c r="P10" s="1">
        <f>SUM(P11:P19)</f>
        <v>340932</v>
      </c>
      <c r="Q10" s="1">
        <f>G10+P10</f>
        <v>2634200</v>
      </c>
      <c r="R10" s="1">
        <v>2634200</v>
      </c>
      <c r="S10" s="1">
        <f>SUM(S11:S19)</f>
        <v>469050</v>
      </c>
      <c r="T10" s="1">
        <f>R10+S10</f>
        <v>3103250</v>
      </c>
      <c r="U10" s="1">
        <f>SUM(U11:U19)</f>
        <v>67668</v>
      </c>
      <c r="V10" s="1">
        <f>T10+U10</f>
        <v>3170918</v>
      </c>
      <c r="W10" s="1">
        <f>SUM(W11:W19)</f>
        <v>-4436</v>
      </c>
      <c r="X10" s="1">
        <v>3168482</v>
      </c>
    </row>
    <row r="11" spans="1:24" ht="33" customHeight="1">
      <c r="A11" s="17" t="s">
        <v>42</v>
      </c>
      <c r="B11" s="6" t="s">
        <v>89</v>
      </c>
      <c r="C11" s="7">
        <v>2151</v>
      </c>
      <c r="D11" s="7"/>
      <c r="E11" s="7">
        <f aca="true" t="shared" si="0" ref="E11:G42">C11+D11</f>
        <v>2151</v>
      </c>
      <c r="F11" s="7"/>
      <c r="G11" s="7">
        <f t="shared" si="0"/>
        <v>2151</v>
      </c>
      <c r="H11" s="7">
        <v>2844</v>
      </c>
      <c r="I11" s="7"/>
      <c r="J11" s="7">
        <v>2653</v>
      </c>
      <c r="K11" s="7"/>
      <c r="L11" s="7">
        <f aca="true" t="shared" si="1" ref="L11:L42">J11+K11</f>
        <v>2653</v>
      </c>
      <c r="M11" s="7">
        <v>2844</v>
      </c>
      <c r="N11" s="7"/>
      <c r="O11" s="7">
        <f aca="true" t="shared" si="2" ref="O11:O42">M11+N11</f>
        <v>2844</v>
      </c>
      <c r="P11" s="7"/>
      <c r="Q11" s="7">
        <f aca="true" t="shared" si="3" ref="Q11:Q74">G11+P11</f>
        <v>2151</v>
      </c>
      <c r="R11" s="7">
        <v>2151</v>
      </c>
      <c r="S11" s="7"/>
      <c r="T11" s="7">
        <f aca="true" t="shared" si="4" ref="T11:T74">R11+S11</f>
        <v>2151</v>
      </c>
      <c r="U11" s="7"/>
      <c r="V11" s="7">
        <f aca="true" t="shared" si="5" ref="V11:V74">T11+U11</f>
        <v>2151</v>
      </c>
      <c r="W11" s="7">
        <f>368-368</f>
        <v>0</v>
      </c>
      <c r="X11" s="7">
        <f aca="true" t="shared" si="6" ref="X11:X74">V11+W11</f>
        <v>2151</v>
      </c>
    </row>
    <row r="12" spans="1:24" ht="48" customHeight="1">
      <c r="A12" s="17" t="s">
        <v>43</v>
      </c>
      <c r="B12" s="6" t="s">
        <v>136</v>
      </c>
      <c r="C12" s="7">
        <v>102410</v>
      </c>
      <c r="D12" s="7"/>
      <c r="E12" s="7">
        <f t="shared" si="0"/>
        <v>102410</v>
      </c>
      <c r="F12" s="7"/>
      <c r="G12" s="7">
        <f t="shared" si="0"/>
        <v>102410</v>
      </c>
      <c r="H12" s="7">
        <v>125544</v>
      </c>
      <c r="I12" s="7"/>
      <c r="J12" s="7">
        <v>117112</v>
      </c>
      <c r="K12" s="7"/>
      <c r="L12" s="7">
        <f t="shared" si="1"/>
        <v>117112</v>
      </c>
      <c r="M12" s="7">
        <v>125544</v>
      </c>
      <c r="N12" s="7"/>
      <c r="O12" s="7">
        <f t="shared" si="2"/>
        <v>125544</v>
      </c>
      <c r="P12" s="7"/>
      <c r="Q12" s="7">
        <f t="shared" si="3"/>
        <v>102410</v>
      </c>
      <c r="R12" s="7">
        <v>102410</v>
      </c>
      <c r="S12" s="7"/>
      <c r="T12" s="7">
        <f t="shared" si="4"/>
        <v>102410</v>
      </c>
      <c r="U12" s="7"/>
      <c r="V12" s="7">
        <f t="shared" si="5"/>
        <v>102410</v>
      </c>
      <c r="W12" s="7"/>
      <c r="X12" s="7">
        <f t="shared" si="6"/>
        <v>102410</v>
      </c>
    </row>
    <row r="13" spans="1:24" ht="47.25">
      <c r="A13" s="17" t="s">
        <v>44</v>
      </c>
      <c r="B13" s="6" t="s">
        <v>90</v>
      </c>
      <c r="C13" s="7">
        <v>341168</v>
      </c>
      <c r="D13" s="7">
        <v>-5600</v>
      </c>
      <c r="E13" s="7">
        <f t="shared" si="0"/>
        <v>335568</v>
      </c>
      <c r="F13" s="7">
        <v>-11991</v>
      </c>
      <c r="G13" s="7">
        <f t="shared" si="0"/>
        <v>323577</v>
      </c>
      <c r="H13" s="7">
        <v>480614</v>
      </c>
      <c r="I13" s="7"/>
      <c r="J13" s="7">
        <v>448441</v>
      </c>
      <c r="K13" s="7"/>
      <c r="L13" s="7">
        <f t="shared" si="1"/>
        <v>448441</v>
      </c>
      <c r="M13" s="7">
        <v>480614</v>
      </c>
      <c r="N13" s="7"/>
      <c r="O13" s="7">
        <f t="shared" si="2"/>
        <v>480614</v>
      </c>
      <c r="P13" s="7"/>
      <c r="Q13" s="7">
        <f t="shared" si="3"/>
        <v>323577</v>
      </c>
      <c r="R13" s="7">
        <v>323577</v>
      </c>
      <c r="S13" s="7">
        <f>-4442+60</f>
        <v>-4382</v>
      </c>
      <c r="T13" s="7">
        <f t="shared" si="4"/>
        <v>319195</v>
      </c>
      <c r="U13" s="7"/>
      <c r="V13" s="7">
        <f t="shared" si="5"/>
        <v>319195</v>
      </c>
      <c r="W13" s="7">
        <f>-214+2005+368-219</f>
        <v>1940</v>
      </c>
      <c r="X13" s="7">
        <f t="shared" si="6"/>
        <v>321135</v>
      </c>
    </row>
    <row r="14" spans="1:24" ht="15.75">
      <c r="A14" s="17" t="s">
        <v>45</v>
      </c>
      <c r="B14" s="6" t="s">
        <v>2</v>
      </c>
      <c r="C14" s="7">
        <v>61750</v>
      </c>
      <c r="D14" s="7"/>
      <c r="E14" s="7">
        <f t="shared" si="0"/>
        <v>61750</v>
      </c>
      <c r="F14" s="7"/>
      <c r="G14" s="7">
        <f t="shared" si="0"/>
        <v>61750</v>
      </c>
      <c r="H14" s="7">
        <v>78530</v>
      </c>
      <c r="I14" s="7"/>
      <c r="J14" s="7">
        <v>73256</v>
      </c>
      <c r="K14" s="7"/>
      <c r="L14" s="7">
        <f t="shared" si="1"/>
        <v>73256</v>
      </c>
      <c r="M14" s="7">
        <v>78530</v>
      </c>
      <c r="N14" s="7"/>
      <c r="O14" s="7">
        <f t="shared" si="2"/>
        <v>78530</v>
      </c>
      <c r="P14" s="7"/>
      <c r="Q14" s="7">
        <f t="shared" si="3"/>
        <v>61750</v>
      </c>
      <c r="R14" s="7">
        <v>61750</v>
      </c>
      <c r="S14" s="7">
        <v>3000</v>
      </c>
      <c r="T14" s="7">
        <f t="shared" si="4"/>
        <v>64750</v>
      </c>
      <c r="U14" s="7"/>
      <c r="V14" s="7">
        <f t="shared" si="5"/>
        <v>64750</v>
      </c>
      <c r="W14" s="7"/>
      <c r="X14" s="7">
        <f t="shared" si="6"/>
        <v>64750</v>
      </c>
    </row>
    <row r="15" spans="1:24" ht="48" customHeight="1">
      <c r="A15" s="17" t="s">
        <v>46</v>
      </c>
      <c r="B15" s="6" t="s">
        <v>156</v>
      </c>
      <c r="C15" s="7">
        <v>110077</v>
      </c>
      <c r="D15" s="7"/>
      <c r="E15" s="7">
        <f t="shared" si="0"/>
        <v>110077</v>
      </c>
      <c r="F15" s="7">
        <v>-2941</v>
      </c>
      <c r="G15" s="7">
        <f t="shared" si="0"/>
        <v>107136</v>
      </c>
      <c r="H15" s="7">
        <v>142467</v>
      </c>
      <c r="I15" s="7"/>
      <c r="J15" s="7">
        <v>132899</v>
      </c>
      <c r="K15" s="7"/>
      <c r="L15" s="7">
        <f t="shared" si="1"/>
        <v>132899</v>
      </c>
      <c r="M15" s="7">
        <v>142467</v>
      </c>
      <c r="N15" s="7"/>
      <c r="O15" s="7">
        <f t="shared" si="2"/>
        <v>142467</v>
      </c>
      <c r="P15" s="7"/>
      <c r="Q15" s="7">
        <f t="shared" si="3"/>
        <v>107136</v>
      </c>
      <c r="R15" s="7">
        <v>107136</v>
      </c>
      <c r="S15" s="7"/>
      <c r="T15" s="7">
        <f t="shared" si="4"/>
        <v>107136</v>
      </c>
      <c r="U15" s="7"/>
      <c r="V15" s="7">
        <f t="shared" si="5"/>
        <v>107136</v>
      </c>
      <c r="W15" s="7">
        <f>800+2117+1000</f>
        <v>3917</v>
      </c>
      <c r="X15" s="7">
        <f t="shared" si="6"/>
        <v>111053</v>
      </c>
    </row>
    <row r="16" spans="1:24" ht="15.75" customHeight="1">
      <c r="A16" s="17" t="s">
        <v>47</v>
      </c>
      <c r="B16" s="6" t="s">
        <v>3</v>
      </c>
      <c r="C16" s="7">
        <v>18241</v>
      </c>
      <c r="D16" s="7"/>
      <c r="E16" s="7">
        <f t="shared" si="0"/>
        <v>18241</v>
      </c>
      <c r="F16" s="7">
        <v>-1695</v>
      </c>
      <c r="G16" s="7">
        <f t="shared" si="0"/>
        <v>16546</v>
      </c>
      <c r="H16" s="7">
        <v>23842</v>
      </c>
      <c r="I16" s="7"/>
      <c r="J16" s="7">
        <v>22241</v>
      </c>
      <c r="K16" s="7"/>
      <c r="L16" s="7">
        <f t="shared" si="1"/>
        <v>22241</v>
      </c>
      <c r="M16" s="7">
        <v>23842</v>
      </c>
      <c r="N16" s="7"/>
      <c r="O16" s="7">
        <f t="shared" si="2"/>
        <v>23842</v>
      </c>
      <c r="P16" s="7">
        <v>1944</v>
      </c>
      <c r="Q16" s="7">
        <f t="shared" si="3"/>
        <v>18490</v>
      </c>
      <c r="R16" s="7">
        <v>18490</v>
      </c>
      <c r="S16" s="7">
        <f>688+663</f>
        <v>1351</v>
      </c>
      <c r="T16" s="7">
        <f t="shared" si="4"/>
        <v>19841</v>
      </c>
      <c r="U16" s="7"/>
      <c r="V16" s="7">
        <f t="shared" si="5"/>
        <v>19841</v>
      </c>
      <c r="W16" s="7"/>
      <c r="X16" s="7">
        <f t="shared" si="6"/>
        <v>19841</v>
      </c>
    </row>
    <row r="17" spans="1:24" ht="16.5" customHeight="1">
      <c r="A17" s="17" t="s">
        <v>120</v>
      </c>
      <c r="B17" s="6" t="s">
        <v>4</v>
      </c>
      <c r="C17" s="7">
        <v>891968</v>
      </c>
      <c r="D17" s="7"/>
      <c r="E17" s="7">
        <f t="shared" si="0"/>
        <v>891968</v>
      </c>
      <c r="F17" s="7"/>
      <c r="G17" s="7">
        <f t="shared" si="0"/>
        <v>891968</v>
      </c>
      <c r="H17" s="7">
        <f>1329595+7401</f>
        <v>1336996</v>
      </c>
      <c r="I17" s="7"/>
      <c r="J17" s="7">
        <v>1198178</v>
      </c>
      <c r="K17" s="7"/>
      <c r="L17" s="7">
        <f t="shared" si="1"/>
        <v>1198178</v>
      </c>
      <c r="M17" s="7">
        <v>1336996</v>
      </c>
      <c r="N17" s="7"/>
      <c r="O17" s="7">
        <f t="shared" si="2"/>
        <v>1336996</v>
      </c>
      <c r="P17" s="7"/>
      <c r="Q17" s="7">
        <f t="shared" si="3"/>
        <v>891968</v>
      </c>
      <c r="R17" s="7">
        <v>891968</v>
      </c>
      <c r="S17" s="7">
        <v>300000</v>
      </c>
      <c r="T17" s="7">
        <f t="shared" si="4"/>
        <v>1191968</v>
      </c>
      <c r="U17" s="7"/>
      <c r="V17" s="7">
        <f t="shared" si="5"/>
        <v>1191968</v>
      </c>
      <c r="W17" s="7"/>
      <c r="X17" s="7">
        <f t="shared" si="6"/>
        <v>1191968</v>
      </c>
    </row>
    <row r="18" spans="1:24" ht="15.75">
      <c r="A18" s="17" t="s">
        <v>48</v>
      </c>
      <c r="B18" s="6" t="s">
        <v>5</v>
      </c>
      <c r="C18" s="7">
        <v>35475</v>
      </c>
      <c r="D18" s="7"/>
      <c r="E18" s="7">
        <f t="shared" si="0"/>
        <v>35475</v>
      </c>
      <c r="F18" s="7">
        <v>100000</v>
      </c>
      <c r="G18" s="7">
        <f t="shared" si="0"/>
        <v>135475</v>
      </c>
      <c r="H18" s="7">
        <v>100000</v>
      </c>
      <c r="I18" s="7"/>
      <c r="J18" s="7">
        <v>100000</v>
      </c>
      <c r="K18" s="7"/>
      <c r="L18" s="7">
        <f t="shared" si="1"/>
        <v>100000</v>
      </c>
      <c r="M18" s="7">
        <v>100000</v>
      </c>
      <c r="N18" s="7"/>
      <c r="O18" s="7">
        <f t="shared" si="2"/>
        <v>100000</v>
      </c>
      <c r="P18" s="7">
        <v>-68035</v>
      </c>
      <c r="Q18" s="7">
        <f t="shared" si="3"/>
        <v>67440</v>
      </c>
      <c r="R18" s="7">
        <v>67440</v>
      </c>
      <c r="S18" s="7">
        <v>100000</v>
      </c>
      <c r="T18" s="7">
        <f t="shared" si="4"/>
        <v>167440</v>
      </c>
      <c r="U18" s="7">
        <v>50000</v>
      </c>
      <c r="V18" s="7">
        <f t="shared" si="5"/>
        <v>217440</v>
      </c>
      <c r="W18" s="7">
        <v>-2000</v>
      </c>
      <c r="X18" s="22">
        <v>217440</v>
      </c>
    </row>
    <row r="19" spans="1:24" ht="15.75">
      <c r="A19" s="17" t="s">
        <v>91</v>
      </c>
      <c r="B19" s="6" t="s">
        <v>6</v>
      </c>
      <c r="C19" s="7">
        <v>749676</v>
      </c>
      <c r="D19" s="7">
        <v>13551</v>
      </c>
      <c r="E19" s="7">
        <f t="shared" si="0"/>
        <v>763227</v>
      </c>
      <c r="F19" s="7">
        <f>-103972-7000</f>
        <v>-110972</v>
      </c>
      <c r="G19" s="7">
        <f t="shared" si="0"/>
        <v>652255</v>
      </c>
      <c r="H19" s="7">
        <f>40000+719929+13714+77464-8067+990</f>
        <v>844030</v>
      </c>
      <c r="I19" s="7"/>
      <c r="J19" s="7">
        <v>854718</v>
      </c>
      <c r="K19" s="7"/>
      <c r="L19" s="7">
        <f t="shared" si="1"/>
        <v>854718</v>
      </c>
      <c r="M19" s="7">
        <v>844030</v>
      </c>
      <c r="N19" s="7"/>
      <c r="O19" s="7">
        <f t="shared" si="2"/>
        <v>844030</v>
      </c>
      <c r="P19" s="7">
        <f>44000+42562+320461</f>
        <v>407023</v>
      </c>
      <c r="Q19" s="7">
        <f t="shared" si="3"/>
        <v>1059278</v>
      </c>
      <c r="R19" s="7">
        <v>1059278</v>
      </c>
      <c r="S19" s="7">
        <f>3500+44487-60-650+5264+16540</f>
        <v>69081</v>
      </c>
      <c r="T19" s="7">
        <f t="shared" si="4"/>
        <v>1128359</v>
      </c>
      <c r="U19" s="7">
        <f>2855+14864-51</f>
        <v>17668</v>
      </c>
      <c r="V19" s="7">
        <f t="shared" si="5"/>
        <v>1146027</v>
      </c>
      <c r="W19" s="7">
        <f>-3000-5038-6559+7085-1000+96+123</f>
        <v>-8293</v>
      </c>
      <c r="X19" s="7">
        <f t="shared" si="6"/>
        <v>1137734</v>
      </c>
    </row>
    <row r="20" spans="1:24" s="8" customFormat="1" ht="15.75">
      <c r="A20" s="16" t="s">
        <v>49</v>
      </c>
      <c r="B20" s="5" t="s">
        <v>7</v>
      </c>
      <c r="C20" s="1">
        <v>28520</v>
      </c>
      <c r="D20" s="1">
        <f>SUM(D21:D21)</f>
        <v>-10927</v>
      </c>
      <c r="E20" s="1">
        <f t="shared" si="0"/>
        <v>17593</v>
      </c>
      <c r="F20" s="1">
        <f>SUM(F21:F21)</f>
        <v>0</v>
      </c>
      <c r="G20" s="1">
        <f t="shared" si="0"/>
        <v>17593</v>
      </c>
      <c r="H20" s="1">
        <f>SUM(H21:H21)</f>
        <v>33972</v>
      </c>
      <c r="I20" s="1">
        <f>SUM(I21:I21)</f>
        <v>0</v>
      </c>
      <c r="J20" s="1">
        <v>31691</v>
      </c>
      <c r="K20" s="1">
        <f>SUM(K21:K21)</f>
        <v>0</v>
      </c>
      <c r="L20" s="1">
        <f t="shared" si="1"/>
        <v>31691</v>
      </c>
      <c r="M20" s="1">
        <v>33972</v>
      </c>
      <c r="N20" s="1">
        <f>SUM(N21:N21)</f>
        <v>0</v>
      </c>
      <c r="O20" s="1">
        <f t="shared" si="2"/>
        <v>33972</v>
      </c>
      <c r="P20" s="1">
        <f>SUM(P21:P21)</f>
        <v>0</v>
      </c>
      <c r="Q20" s="1">
        <f t="shared" si="3"/>
        <v>17593</v>
      </c>
      <c r="R20" s="1">
        <v>17593</v>
      </c>
      <c r="S20" s="1">
        <f>SUM(S21:S21)</f>
        <v>-489</v>
      </c>
      <c r="T20" s="1">
        <f t="shared" si="4"/>
        <v>17104</v>
      </c>
      <c r="U20" s="1">
        <f>SUM(U21:U21)</f>
        <v>0</v>
      </c>
      <c r="V20" s="1">
        <f t="shared" si="5"/>
        <v>17104</v>
      </c>
      <c r="W20" s="1">
        <f>SUM(W21:W21)</f>
        <v>-137</v>
      </c>
      <c r="X20" s="1">
        <f t="shared" si="6"/>
        <v>16967</v>
      </c>
    </row>
    <row r="21" spans="1:24" ht="15.75">
      <c r="A21" s="17" t="s">
        <v>92</v>
      </c>
      <c r="B21" s="6" t="s">
        <v>8</v>
      </c>
      <c r="C21" s="7">
        <v>28520</v>
      </c>
      <c r="D21" s="7">
        <v>-10927</v>
      </c>
      <c r="E21" s="7">
        <f t="shared" si="0"/>
        <v>17593</v>
      </c>
      <c r="F21" s="7"/>
      <c r="G21" s="7">
        <f t="shared" si="0"/>
        <v>17593</v>
      </c>
      <c r="H21" s="7">
        <f>6684+12592+14696</f>
        <v>33972</v>
      </c>
      <c r="I21" s="7"/>
      <c r="J21" s="7">
        <v>31691</v>
      </c>
      <c r="K21" s="7"/>
      <c r="L21" s="7">
        <f t="shared" si="1"/>
        <v>31691</v>
      </c>
      <c r="M21" s="7">
        <v>33972</v>
      </c>
      <c r="N21" s="7"/>
      <c r="O21" s="7">
        <f t="shared" si="2"/>
        <v>33972</v>
      </c>
      <c r="P21" s="7"/>
      <c r="Q21" s="7">
        <f t="shared" si="3"/>
        <v>17593</v>
      </c>
      <c r="R21" s="7">
        <v>17593</v>
      </c>
      <c r="S21" s="7">
        <v>-489</v>
      </c>
      <c r="T21" s="7">
        <f t="shared" si="4"/>
        <v>17104</v>
      </c>
      <c r="U21" s="7"/>
      <c r="V21" s="7">
        <f t="shared" si="5"/>
        <v>17104</v>
      </c>
      <c r="W21" s="7">
        <v>-137</v>
      </c>
      <c r="X21" s="7">
        <f t="shared" si="6"/>
        <v>16967</v>
      </c>
    </row>
    <row r="22" spans="1:24" s="8" customFormat="1" ht="33" customHeight="1">
      <c r="A22" s="16" t="s">
        <v>50</v>
      </c>
      <c r="B22" s="5" t="s">
        <v>9</v>
      </c>
      <c r="C22" s="1">
        <v>1205234</v>
      </c>
      <c r="D22" s="1">
        <f>SUM(D23:D25)</f>
        <v>29924</v>
      </c>
      <c r="E22" s="1">
        <f t="shared" si="0"/>
        <v>1235158</v>
      </c>
      <c r="F22" s="1">
        <f>SUM(F23:F25)</f>
        <v>-104984</v>
      </c>
      <c r="G22" s="1">
        <f t="shared" si="0"/>
        <v>1130174</v>
      </c>
      <c r="H22" s="1">
        <f>SUM(H23:H25)</f>
        <v>1419885</v>
      </c>
      <c r="I22" s="1">
        <f>SUM(I23:I25)</f>
        <v>0</v>
      </c>
      <c r="J22" s="1">
        <v>1354476</v>
      </c>
      <c r="K22" s="1">
        <f>SUM(K23:K25)</f>
        <v>0</v>
      </c>
      <c r="L22" s="1">
        <f t="shared" si="1"/>
        <v>1354476</v>
      </c>
      <c r="M22" s="1">
        <v>1419885</v>
      </c>
      <c r="N22" s="1">
        <f>SUM(N23:N25)</f>
        <v>0</v>
      </c>
      <c r="O22" s="1">
        <f t="shared" si="2"/>
        <v>1419885</v>
      </c>
      <c r="P22" s="1">
        <f>SUM(P23:P25)</f>
        <v>-7800</v>
      </c>
      <c r="Q22" s="1">
        <f t="shared" si="3"/>
        <v>1122374</v>
      </c>
      <c r="R22" s="1">
        <v>1122374</v>
      </c>
      <c r="S22" s="1">
        <f>SUM(S23:S25)</f>
        <v>8520</v>
      </c>
      <c r="T22" s="1">
        <f t="shared" si="4"/>
        <v>1130894</v>
      </c>
      <c r="U22" s="1">
        <f>SUM(U23:U25)</f>
        <v>0</v>
      </c>
      <c r="V22" s="1">
        <f t="shared" si="5"/>
        <v>1130894</v>
      </c>
      <c r="W22" s="1">
        <f>SUM(W23:W25)</f>
        <v>-11265</v>
      </c>
      <c r="X22" s="1">
        <f t="shared" si="6"/>
        <v>1119629</v>
      </c>
    </row>
    <row r="23" spans="1:24" ht="15.75">
      <c r="A23" s="17" t="s">
        <v>51</v>
      </c>
      <c r="B23" s="6" t="s">
        <v>10</v>
      </c>
      <c r="C23" s="7">
        <v>811129</v>
      </c>
      <c r="D23" s="7">
        <v>18997</v>
      </c>
      <c r="E23" s="7">
        <f t="shared" si="0"/>
        <v>830126</v>
      </c>
      <c r="F23" s="7">
        <f>-41800+600</f>
        <v>-41200</v>
      </c>
      <c r="G23" s="7">
        <f t="shared" si="0"/>
        <v>788926</v>
      </c>
      <c r="H23" s="7">
        <v>913684</v>
      </c>
      <c r="I23" s="7"/>
      <c r="J23" s="7">
        <v>881200</v>
      </c>
      <c r="K23" s="7"/>
      <c r="L23" s="7">
        <f t="shared" si="1"/>
        <v>881200</v>
      </c>
      <c r="M23" s="7">
        <v>913684</v>
      </c>
      <c r="N23" s="7"/>
      <c r="O23" s="7">
        <f t="shared" si="2"/>
        <v>913684</v>
      </c>
      <c r="P23" s="7">
        <v>-7800</v>
      </c>
      <c r="Q23" s="7">
        <f t="shared" si="3"/>
        <v>781126</v>
      </c>
      <c r="R23" s="7">
        <v>781126</v>
      </c>
      <c r="S23" s="7"/>
      <c r="T23" s="7">
        <f t="shared" si="4"/>
        <v>781126</v>
      </c>
      <c r="U23" s="7"/>
      <c r="V23" s="7">
        <f t="shared" si="5"/>
        <v>781126</v>
      </c>
      <c r="W23" s="7">
        <v>-3165</v>
      </c>
      <c r="X23" s="7">
        <f t="shared" si="6"/>
        <v>777961</v>
      </c>
    </row>
    <row r="24" spans="1:24" ht="31.5" customHeight="1">
      <c r="A24" s="17" t="s">
        <v>52</v>
      </c>
      <c r="B24" s="6" t="s">
        <v>131</v>
      </c>
      <c r="C24" s="7">
        <v>102641</v>
      </c>
      <c r="D24" s="7">
        <f>8000+10927-8000</f>
        <v>10927</v>
      </c>
      <c r="E24" s="7">
        <f t="shared" si="0"/>
        <v>113568</v>
      </c>
      <c r="F24" s="7">
        <f>-4630-10180</f>
        <v>-14810</v>
      </c>
      <c r="G24" s="7">
        <f t="shared" si="0"/>
        <v>98758</v>
      </c>
      <c r="H24" s="7">
        <f>16000+94490+277</f>
        <v>110767</v>
      </c>
      <c r="I24" s="7"/>
      <c r="J24" s="7">
        <v>104401</v>
      </c>
      <c r="K24" s="7"/>
      <c r="L24" s="7">
        <f t="shared" si="1"/>
        <v>104401</v>
      </c>
      <c r="M24" s="7">
        <v>110767</v>
      </c>
      <c r="N24" s="7"/>
      <c r="O24" s="7">
        <f t="shared" si="2"/>
        <v>110767</v>
      </c>
      <c r="P24" s="7"/>
      <c r="Q24" s="7">
        <f t="shared" si="3"/>
        <v>98758</v>
      </c>
      <c r="R24" s="7">
        <v>98758</v>
      </c>
      <c r="S24" s="7">
        <v>870</v>
      </c>
      <c r="T24" s="7">
        <f t="shared" si="4"/>
        <v>99628</v>
      </c>
      <c r="U24" s="7"/>
      <c r="V24" s="7">
        <f t="shared" si="5"/>
        <v>99628</v>
      </c>
      <c r="W24" s="7">
        <f>-100-8000</f>
        <v>-8100</v>
      </c>
      <c r="X24" s="7">
        <f t="shared" si="6"/>
        <v>91528</v>
      </c>
    </row>
    <row r="25" spans="1:24" ht="15.75">
      <c r="A25" s="17" t="s">
        <v>53</v>
      </c>
      <c r="B25" s="6" t="s">
        <v>93</v>
      </c>
      <c r="C25" s="7">
        <v>291464</v>
      </c>
      <c r="D25" s="7"/>
      <c r="E25" s="7">
        <f t="shared" si="0"/>
        <v>291464</v>
      </c>
      <c r="F25" s="7">
        <v>-48974</v>
      </c>
      <c r="G25" s="7">
        <f t="shared" si="0"/>
        <v>242490</v>
      </c>
      <c r="H25" s="7">
        <v>395434</v>
      </c>
      <c r="I25" s="7"/>
      <c r="J25" s="7">
        <v>368875</v>
      </c>
      <c r="K25" s="7"/>
      <c r="L25" s="7">
        <f t="shared" si="1"/>
        <v>368875</v>
      </c>
      <c r="M25" s="7">
        <v>395434</v>
      </c>
      <c r="N25" s="7"/>
      <c r="O25" s="7">
        <f t="shared" si="2"/>
        <v>395434</v>
      </c>
      <c r="P25" s="7"/>
      <c r="Q25" s="7">
        <f t="shared" si="3"/>
        <v>242490</v>
      </c>
      <c r="R25" s="7">
        <v>242490</v>
      </c>
      <c r="S25" s="7">
        <v>7650</v>
      </c>
      <c r="T25" s="7">
        <f t="shared" si="4"/>
        <v>250140</v>
      </c>
      <c r="U25" s="7"/>
      <c r="V25" s="7">
        <f t="shared" si="5"/>
        <v>250140</v>
      </c>
      <c r="W25" s="7"/>
      <c r="X25" s="7">
        <f t="shared" si="6"/>
        <v>250140</v>
      </c>
    </row>
    <row r="26" spans="1:24" s="8" customFormat="1" ht="15.75">
      <c r="A26" s="16" t="s">
        <v>54</v>
      </c>
      <c r="B26" s="5" t="s">
        <v>11</v>
      </c>
      <c r="C26" s="1">
        <v>7231317</v>
      </c>
      <c r="D26" s="1">
        <f>SUM(D27:D35)</f>
        <v>288289</v>
      </c>
      <c r="E26" s="1">
        <f t="shared" si="0"/>
        <v>7519606</v>
      </c>
      <c r="F26" s="1">
        <f>SUM(F27:F35)</f>
        <v>-767473</v>
      </c>
      <c r="G26" s="1">
        <f t="shared" si="0"/>
        <v>6752133</v>
      </c>
      <c r="H26" s="1">
        <f>SUM(H27:H35)</f>
        <v>4500215</v>
      </c>
      <c r="I26" s="1">
        <f>SUM(I27:I35)</f>
        <v>1050</v>
      </c>
      <c r="J26" s="1">
        <v>6235732</v>
      </c>
      <c r="K26" s="1">
        <f>SUM(K27:K35)</f>
        <v>0</v>
      </c>
      <c r="L26" s="1">
        <f t="shared" si="1"/>
        <v>6235732</v>
      </c>
      <c r="M26" s="1">
        <v>4501265</v>
      </c>
      <c r="N26" s="1">
        <f>SUM(N27:N35)</f>
        <v>0</v>
      </c>
      <c r="O26" s="1">
        <f t="shared" si="2"/>
        <v>4501265</v>
      </c>
      <c r="P26" s="1">
        <f>SUM(P27:P35)</f>
        <v>-42743</v>
      </c>
      <c r="Q26" s="1">
        <f t="shared" si="3"/>
        <v>6709390</v>
      </c>
      <c r="R26" s="1">
        <v>6709390</v>
      </c>
      <c r="S26" s="1">
        <f>SUM(S27:S35)</f>
        <v>274139</v>
      </c>
      <c r="T26" s="1">
        <f t="shared" si="4"/>
        <v>6983529</v>
      </c>
      <c r="U26" s="1">
        <f>SUM(U27:U35)</f>
        <v>47979</v>
      </c>
      <c r="V26" s="1">
        <f t="shared" si="5"/>
        <v>7031508</v>
      </c>
      <c r="W26" s="1">
        <f>SUM(W27:W35)</f>
        <v>5891</v>
      </c>
      <c r="X26" s="1">
        <f t="shared" si="6"/>
        <v>7037399</v>
      </c>
    </row>
    <row r="27" spans="1:24" ht="15.75">
      <c r="A27" s="17" t="s">
        <v>55</v>
      </c>
      <c r="B27" s="6" t="s">
        <v>12</v>
      </c>
      <c r="C27" s="7">
        <v>229354</v>
      </c>
      <c r="D27" s="7">
        <v>187245</v>
      </c>
      <c r="E27" s="7">
        <f t="shared" si="0"/>
        <v>416599</v>
      </c>
      <c r="F27" s="7">
        <v>-10000</v>
      </c>
      <c r="G27" s="7">
        <f t="shared" si="0"/>
        <v>406599</v>
      </c>
      <c r="H27" s="7">
        <v>246519</v>
      </c>
      <c r="I27" s="7"/>
      <c r="J27" s="7">
        <v>230126</v>
      </c>
      <c r="K27" s="7"/>
      <c r="L27" s="7">
        <f t="shared" si="1"/>
        <v>230126</v>
      </c>
      <c r="M27" s="7">
        <v>246519</v>
      </c>
      <c r="N27" s="7"/>
      <c r="O27" s="7">
        <f t="shared" si="2"/>
        <v>246519</v>
      </c>
      <c r="P27" s="7">
        <v>51846</v>
      </c>
      <c r="Q27" s="7">
        <f t="shared" si="3"/>
        <v>458445</v>
      </c>
      <c r="R27" s="7">
        <v>458445</v>
      </c>
      <c r="S27" s="7">
        <f>226723+8414</f>
        <v>235137</v>
      </c>
      <c r="T27" s="7">
        <f t="shared" si="4"/>
        <v>693582</v>
      </c>
      <c r="U27" s="7">
        <v>5131</v>
      </c>
      <c r="V27" s="7">
        <f t="shared" si="5"/>
        <v>698713</v>
      </c>
      <c r="W27" s="7">
        <f>-6326+30+1</f>
        <v>-6295</v>
      </c>
      <c r="X27" s="7">
        <f t="shared" si="6"/>
        <v>692418</v>
      </c>
    </row>
    <row r="28" spans="1:24" ht="15.75">
      <c r="A28" s="17" t="s">
        <v>56</v>
      </c>
      <c r="B28" s="6" t="s">
        <v>139</v>
      </c>
      <c r="C28" s="7">
        <v>36988</v>
      </c>
      <c r="D28" s="7"/>
      <c r="E28" s="7">
        <f t="shared" si="0"/>
        <v>36988</v>
      </c>
      <c r="F28" s="7">
        <v>-400</v>
      </c>
      <c r="G28" s="7">
        <f t="shared" si="0"/>
        <v>36588</v>
      </c>
      <c r="H28" s="7">
        <f>3802+46117</f>
        <v>49919</v>
      </c>
      <c r="I28" s="7"/>
      <c r="J28" s="7">
        <v>46620</v>
      </c>
      <c r="K28" s="7"/>
      <c r="L28" s="7">
        <f t="shared" si="1"/>
        <v>46620</v>
      </c>
      <c r="M28" s="7">
        <v>49919</v>
      </c>
      <c r="N28" s="7"/>
      <c r="O28" s="7">
        <f t="shared" si="2"/>
        <v>49919</v>
      </c>
      <c r="P28" s="7"/>
      <c r="Q28" s="7">
        <f t="shared" si="3"/>
        <v>36588</v>
      </c>
      <c r="R28" s="7">
        <v>36588</v>
      </c>
      <c r="S28" s="7"/>
      <c r="T28" s="7">
        <f t="shared" si="4"/>
        <v>36588</v>
      </c>
      <c r="U28" s="7"/>
      <c r="V28" s="7">
        <f t="shared" si="5"/>
        <v>36588</v>
      </c>
      <c r="W28" s="7">
        <v>-45</v>
      </c>
      <c r="X28" s="7">
        <f t="shared" si="6"/>
        <v>36543</v>
      </c>
    </row>
    <row r="29" spans="1:24" ht="15.75">
      <c r="A29" s="17" t="s">
        <v>57</v>
      </c>
      <c r="B29" s="6" t="s">
        <v>13</v>
      </c>
      <c r="C29" s="7">
        <v>3700</v>
      </c>
      <c r="D29" s="7"/>
      <c r="E29" s="7">
        <f t="shared" si="0"/>
        <v>3700</v>
      </c>
      <c r="F29" s="7"/>
      <c r="G29" s="7">
        <f t="shared" si="0"/>
        <v>3700</v>
      </c>
      <c r="H29" s="7">
        <v>4200</v>
      </c>
      <c r="I29" s="7"/>
      <c r="J29" s="7">
        <v>3900</v>
      </c>
      <c r="K29" s="7"/>
      <c r="L29" s="7">
        <f t="shared" si="1"/>
        <v>3900</v>
      </c>
      <c r="M29" s="7">
        <v>4200</v>
      </c>
      <c r="N29" s="7"/>
      <c r="O29" s="7">
        <f t="shared" si="2"/>
        <v>4200</v>
      </c>
      <c r="P29" s="7"/>
      <c r="Q29" s="7">
        <f t="shared" si="3"/>
        <v>3700</v>
      </c>
      <c r="R29" s="7">
        <v>3700</v>
      </c>
      <c r="S29" s="7"/>
      <c r="T29" s="7">
        <f t="shared" si="4"/>
        <v>3700</v>
      </c>
      <c r="U29" s="7"/>
      <c r="V29" s="7">
        <f t="shared" si="5"/>
        <v>3700</v>
      </c>
      <c r="W29" s="7"/>
      <c r="X29" s="7">
        <f t="shared" si="6"/>
        <v>3700</v>
      </c>
    </row>
    <row r="30" spans="1:24" ht="15.75">
      <c r="A30" s="17" t="s">
        <v>58</v>
      </c>
      <c r="B30" s="6" t="s">
        <v>14</v>
      </c>
      <c r="C30" s="7">
        <v>700510</v>
      </c>
      <c r="D30" s="7">
        <f>28260+1138</f>
        <v>29398</v>
      </c>
      <c r="E30" s="7">
        <f t="shared" si="0"/>
        <v>729908</v>
      </c>
      <c r="F30" s="7">
        <v>385</v>
      </c>
      <c r="G30" s="7">
        <f t="shared" si="0"/>
        <v>730293</v>
      </c>
      <c r="H30" s="7">
        <f>687840+91253</f>
        <v>779093</v>
      </c>
      <c r="I30" s="7"/>
      <c r="J30" s="7">
        <v>768824</v>
      </c>
      <c r="K30" s="7"/>
      <c r="L30" s="7">
        <f t="shared" si="1"/>
        <v>768824</v>
      </c>
      <c r="M30" s="7">
        <v>779093</v>
      </c>
      <c r="N30" s="7"/>
      <c r="O30" s="7">
        <f t="shared" si="2"/>
        <v>779093</v>
      </c>
      <c r="P30" s="7"/>
      <c r="Q30" s="7">
        <f t="shared" si="3"/>
        <v>730293</v>
      </c>
      <c r="R30" s="7">
        <v>730293</v>
      </c>
      <c r="S30" s="7">
        <f>510217+60+368</f>
        <v>510645</v>
      </c>
      <c r="T30" s="7">
        <f t="shared" si="4"/>
        <v>1240938</v>
      </c>
      <c r="U30" s="7">
        <v>49348</v>
      </c>
      <c r="V30" s="7">
        <f t="shared" si="5"/>
        <v>1290286</v>
      </c>
      <c r="W30" s="7">
        <f>9700+151</f>
        <v>9851</v>
      </c>
      <c r="X30" s="7">
        <f t="shared" si="6"/>
        <v>1300137</v>
      </c>
    </row>
    <row r="31" spans="1:24" ht="15.75">
      <c r="A31" s="17" t="s">
        <v>88</v>
      </c>
      <c r="B31" s="6" t="s">
        <v>145</v>
      </c>
      <c r="C31" s="7">
        <v>14243</v>
      </c>
      <c r="D31" s="7">
        <v>11150</v>
      </c>
      <c r="E31" s="7">
        <f t="shared" si="0"/>
        <v>25393</v>
      </c>
      <c r="F31" s="7"/>
      <c r="G31" s="7">
        <f t="shared" si="0"/>
        <v>25393</v>
      </c>
      <c r="H31" s="7">
        <f>32369-16000</f>
        <v>16369</v>
      </c>
      <c r="I31" s="7"/>
      <c r="J31" s="7">
        <v>16369</v>
      </c>
      <c r="K31" s="7"/>
      <c r="L31" s="7">
        <f t="shared" si="1"/>
        <v>16369</v>
      </c>
      <c r="M31" s="7">
        <v>16369</v>
      </c>
      <c r="N31" s="7"/>
      <c r="O31" s="7">
        <f t="shared" si="2"/>
        <v>16369</v>
      </c>
      <c r="P31" s="7"/>
      <c r="Q31" s="7">
        <f t="shared" si="3"/>
        <v>25393</v>
      </c>
      <c r="R31" s="7">
        <v>25393</v>
      </c>
      <c r="S31" s="7"/>
      <c r="T31" s="7">
        <f t="shared" si="4"/>
        <v>25393</v>
      </c>
      <c r="U31" s="7"/>
      <c r="V31" s="7">
        <f t="shared" si="5"/>
        <v>25393</v>
      </c>
      <c r="W31" s="7"/>
      <c r="X31" s="7">
        <f t="shared" si="6"/>
        <v>25393</v>
      </c>
    </row>
    <row r="32" spans="1:24" ht="15.75">
      <c r="A32" s="17" t="s">
        <v>79</v>
      </c>
      <c r="B32" s="6" t="s">
        <v>15</v>
      </c>
      <c r="C32" s="7">
        <v>148787</v>
      </c>
      <c r="D32" s="7">
        <f>1943+12776</f>
        <v>14719</v>
      </c>
      <c r="E32" s="7">
        <f t="shared" si="0"/>
        <v>163506</v>
      </c>
      <c r="F32" s="7"/>
      <c r="G32" s="7">
        <f t="shared" si="0"/>
        <v>163506</v>
      </c>
      <c r="H32" s="7">
        <f>129366+30000</f>
        <v>159366</v>
      </c>
      <c r="I32" s="7"/>
      <c r="J32" s="7">
        <v>157095</v>
      </c>
      <c r="K32" s="7"/>
      <c r="L32" s="7">
        <f t="shared" si="1"/>
        <v>157095</v>
      </c>
      <c r="M32" s="7">
        <v>159366</v>
      </c>
      <c r="N32" s="7"/>
      <c r="O32" s="7">
        <f t="shared" si="2"/>
        <v>159366</v>
      </c>
      <c r="P32" s="7"/>
      <c r="Q32" s="7">
        <f t="shared" si="3"/>
        <v>163506</v>
      </c>
      <c r="R32" s="7">
        <v>163506</v>
      </c>
      <c r="S32" s="7">
        <v>33</v>
      </c>
      <c r="T32" s="7">
        <f t="shared" si="4"/>
        <v>163539</v>
      </c>
      <c r="U32" s="7">
        <f>5011-5011</f>
        <v>0</v>
      </c>
      <c r="V32" s="7">
        <f t="shared" si="5"/>
        <v>163539</v>
      </c>
      <c r="W32" s="7">
        <f>500-500</f>
        <v>0</v>
      </c>
      <c r="X32" s="7">
        <f t="shared" si="6"/>
        <v>163539</v>
      </c>
    </row>
    <row r="33" spans="1:24" ht="15.75">
      <c r="A33" s="17" t="s">
        <v>59</v>
      </c>
      <c r="B33" s="6" t="s">
        <v>16</v>
      </c>
      <c r="C33" s="7">
        <v>250437</v>
      </c>
      <c r="D33" s="7"/>
      <c r="E33" s="7">
        <f t="shared" si="0"/>
        <v>250437</v>
      </c>
      <c r="F33" s="7">
        <v>8775</v>
      </c>
      <c r="G33" s="7">
        <f t="shared" si="0"/>
        <v>259212</v>
      </c>
      <c r="H33" s="7">
        <v>242507</v>
      </c>
      <c r="I33" s="7"/>
      <c r="J33" s="7">
        <v>240874</v>
      </c>
      <c r="K33" s="7"/>
      <c r="L33" s="7">
        <f t="shared" si="1"/>
        <v>240874</v>
      </c>
      <c r="M33" s="7">
        <v>242507</v>
      </c>
      <c r="N33" s="7"/>
      <c r="O33" s="7">
        <f t="shared" si="2"/>
        <v>242507</v>
      </c>
      <c r="P33" s="7">
        <v>-50000</v>
      </c>
      <c r="Q33" s="7">
        <f t="shared" si="3"/>
        <v>209212</v>
      </c>
      <c r="R33" s="7">
        <v>209212</v>
      </c>
      <c r="S33" s="7">
        <f>35587-5000+25000</f>
        <v>55587</v>
      </c>
      <c r="T33" s="7">
        <f t="shared" si="4"/>
        <v>264799</v>
      </c>
      <c r="U33" s="7"/>
      <c r="V33" s="7">
        <f t="shared" si="5"/>
        <v>264799</v>
      </c>
      <c r="W33" s="7">
        <v>2100</v>
      </c>
      <c r="X33" s="7">
        <f t="shared" si="6"/>
        <v>266899</v>
      </c>
    </row>
    <row r="34" spans="1:24" ht="15.75">
      <c r="A34" s="17" t="s">
        <v>60</v>
      </c>
      <c r="B34" s="6" t="s">
        <v>151</v>
      </c>
      <c r="C34" s="7">
        <v>5661038</v>
      </c>
      <c r="D34" s="7">
        <f>2895-2575</f>
        <v>320</v>
      </c>
      <c r="E34" s="7">
        <f t="shared" si="0"/>
        <v>5661358</v>
      </c>
      <c r="F34" s="7">
        <v>-694825</v>
      </c>
      <c r="G34" s="7">
        <f t="shared" si="0"/>
        <v>4966533</v>
      </c>
      <c r="H34" s="7">
        <f>2591601+71324</f>
        <v>2662925</v>
      </c>
      <c r="I34" s="7"/>
      <c r="J34" s="7">
        <v>4516359</v>
      </c>
      <c r="K34" s="7"/>
      <c r="L34" s="7">
        <f t="shared" si="1"/>
        <v>4516359</v>
      </c>
      <c r="M34" s="7">
        <v>2662925</v>
      </c>
      <c r="N34" s="7"/>
      <c r="O34" s="7">
        <f t="shared" si="2"/>
        <v>2662925</v>
      </c>
      <c r="P34" s="7">
        <v>-44589</v>
      </c>
      <c r="Q34" s="7">
        <f t="shared" si="3"/>
        <v>4921944</v>
      </c>
      <c r="R34" s="7">
        <v>4921944</v>
      </c>
      <c r="S34" s="7">
        <f>-9450-623127-5067+3651</f>
        <v>-633993</v>
      </c>
      <c r="T34" s="7">
        <f t="shared" si="4"/>
        <v>4287951</v>
      </c>
      <c r="U34" s="7"/>
      <c r="V34" s="7">
        <f t="shared" si="5"/>
        <v>4287951</v>
      </c>
      <c r="W34" s="7"/>
      <c r="X34" s="7">
        <f t="shared" si="6"/>
        <v>4287951</v>
      </c>
    </row>
    <row r="35" spans="1:24" ht="15.75">
      <c r="A35" s="17" t="s">
        <v>94</v>
      </c>
      <c r="B35" s="6" t="s">
        <v>17</v>
      </c>
      <c r="C35" s="7">
        <v>186260</v>
      </c>
      <c r="D35" s="7">
        <f>52179+1125-7847</f>
        <v>45457</v>
      </c>
      <c r="E35" s="7">
        <f t="shared" si="0"/>
        <v>231717</v>
      </c>
      <c r="F35" s="7">
        <f>-22762-49000+354</f>
        <v>-71408</v>
      </c>
      <c r="G35" s="7">
        <f t="shared" si="0"/>
        <v>160309</v>
      </c>
      <c r="H35" s="7">
        <f>3500+3000+221923+102827+8067</f>
        <v>339317</v>
      </c>
      <c r="I35" s="7">
        <v>1050</v>
      </c>
      <c r="J35" s="7">
        <v>255565</v>
      </c>
      <c r="K35" s="7"/>
      <c r="L35" s="7">
        <f t="shared" si="1"/>
        <v>255565</v>
      </c>
      <c r="M35" s="7">
        <v>340367</v>
      </c>
      <c r="N35" s="7"/>
      <c r="O35" s="7">
        <f t="shared" si="2"/>
        <v>340367</v>
      </c>
      <c r="P35" s="7"/>
      <c r="Q35" s="7">
        <f t="shared" si="3"/>
        <v>160309</v>
      </c>
      <c r="R35" s="7">
        <v>160309</v>
      </c>
      <c r="S35" s="7">
        <f>113300+13700-20270</f>
        <v>106730</v>
      </c>
      <c r="T35" s="7">
        <f t="shared" si="4"/>
        <v>267039</v>
      </c>
      <c r="U35" s="7">
        <v>-6500</v>
      </c>
      <c r="V35" s="7">
        <f t="shared" si="5"/>
        <v>260539</v>
      </c>
      <c r="W35" s="7">
        <v>280</v>
      </c>
      <c r="X35" s="7">
        <f t="shared" si="6"/>
        <v>260819</v>
      </c>
    </row>
    <row r="36" spans="1:24" s="8" customFormat="1" ht="15.75">
      <c r="A36" s="16" t="s">
        <v>61</v>
      </c>
      <c r="B36" s="5" t="s">
        <v>18</v>
      </c>
      <c r="C36" s="1">
        <v>648345</v>
      </c>
      <c r="D36" s="1">
        <f>SUM(D37:D39)</f>
        <v>61707</v>
      </c>
      <c r="E36" s="1">
        <f t="shared" si="0"/>
        <v>710052</v>
      </c>
      <c r="F36" s="1">
        <f>SUM(F37:F39)</f>
        <v>8235</v>
      </c>
      <c r="G36" s="1">
        <f t="shared" si="0"/>
        <v>718287</v>
      </c>
      <c r="H36" s="1">
        <f>SUM(H37:H39)</f>
        <v>497917</v>
      </c>
      <c r="I36" s="1">
        <f>SUM(I37:I39)</f>
        <v>0</v>
      </c>
      <c r="J36" s="1">
        <v>377954</v>
      </c>
      <c r="K36" s="1">
        <f>SUM(K37:K39)</f>
        <v>0</v>
      </c>
      <c r="L36" s="1">
        <f t="shared" si="1"/>
        <v>377954</v>
      </c>
      <c r="M36" s="1">
        <v>497917</v>
      </c>
      <c r="N36" s="1">
        <f>SUM(N37:N39)</f>
        <v>0</v>
      </c>
      <c r="O36" s="1">
        <f t="shared" si="2"/>
        <v>497917</v>
      </c>
      <c r="P36" s="1">
        <f>SUM(P37:P39)</f>
        <v>-27000</v>
      </c>
      <c r="Q36" s="1">
        <f t="shared" si="3"/>
        <v>691287</v>
      </c>
      <c r="R36" s="1">
        <v>691287</v>
      </c>
      <c r="S36" s="1">
        <f>SUM(S37:S39)</f>
        <v>3070</v>
      </c>
      <c r="T36" s="1">
        <f t="shared" si="4"/>
        <v>694357</v>
      </c>
      <c r="U36" s="1">
        <f>SUM(U37:U39)</f>
        <v>0</v>
      </c>
      <c r="V36" s="1">
        <f t="shared" si="5"/>
        <v>694357</v>
      </c>
      <c r="W36" s="1">
        <f>SUM(W37:W39)</f>
        <v>-5625</v>
      </c>
      <c r="X36" s="1">
        <f t="shared" si="6"/>
        <v>688732</v>
      </c>
    </row>
    <row r="37" spans="1:24" ht="15.75">
      <c r="A37" s="17" t="s">
        <v>95</v>
      </c>
      <c r="B37" s="6" t="s">
        <v>19</v>
      </c>
      <c r="C37" s="7">
        <v>559030</v>
      </c>
      <c r="D37" s="7">
        <v>61707</v>
      </c>
      <c r="E37" s="7">
        <f t="shared" si="0"/>
        <v>620737</v>
      </c>
      <c r="F37" s="7"/>
      <c r="G37" s="7">
        <f t="shared" si="0"/>
        <v>620737</v>
      </c>
      <c r="H37" s="7"/>
      <c r="I37" s="7"/>
      <c r="J37" s="7">
        <v>0</v>
      </c>
      <c r="K37" s="7"/>
      <c r="L37" s="7">
        <f t="shared" si="1"/>
        <v>0</v>
      </c>
      <c r="M37" s="7">
        <v>0</v>
      </c>
      <c r="N37" s="7"/>
      <c r="O37" s="7">
        <f t="shared" si="2"/>
        <v>0</v>
      </c>
      <c r="P37" s="7"/>
      <c r="Q37" s="7">
        <f t="shared" si="3"/>
        <v>620737</v>
      </c>
      <c r="R37" s="7">
        <v>620737</v>
      </c>
      <c r="S37" s="7"/>
      <c r="T37" s="7">
        <f t="shared" si="4"/>
        <v>620737</v>
      </c>
      <c r="U37" s="7"/>
      <c r="V37" s="7">
        <f t="shared" si="5"/>
        <v>620737</v>
      </c>
      <c r="W37" s="7"/>
      <c r="X37" s="7">
        <f t="shared" si="6"/>
        <v>620737</v>
      </c>
    </row>
    <row r="38" spans="1:24" ht="15.75">
      <c r="A38" s="17" t="s">
        <v>80</v>
      </c>
      <c r="B38" s="6" t="s">
        <v>20</v>
      </c>
      <c r="C38" s="7">
        <v>35000</v>
      </c>
      <c r="D38" s="7"/>
      <c r="E38" s="7">
        <f t="shared" si="0"/>
        <v>35000</v>
      </c>
      <c r="F38" s="7">
        <v>25000</v>
      </c>
      <c r="G38" s="7">
        <f t="shared" si="0"/>
        <v>60000</v>
      </c>
      <c r="H38" s="7">
        <v>430651</v>
      </c>
      <c r="I38" s="7"/>
      <c r="J38" s="7">
        <v>315259</v>
      </c>
      <c r="K38" s="7"/>
      <c r="L38" s="7">
        <f t="shared" si="1"/>
        <v>315259</v>
      </c>
      <c r="M38" s="7">
        <v>430651</v>
      </c>
      <c r="N38" s="7"/>
      <c r="O38" s="7">
        <f t="shared" si="2"/>
        <v>430651</v>
      </c>
      <c r="P38" s="7">
        <v>-27000</v>
      </c>
      <c r="Q38" s="7">
        <f t="shared" si="3"/>
        <v>33000</v>
      </c>
      <c r="R38" s="7">
        <v>33000</v>
      </c>
      <c r="S38" s="7"/>
      <c r="T38" s="7">
        <f t="shared" si="4"/>
        <v>33000</v>
      </c>
      <c r="U38" s="7"/>
      <c r="V38" s="7">
        <f t="shared" si="5"/>
        <v>33000</v>
      </c>
      <c r="W38" s="7">
        <f>-3625-2000</f>
        <v>-5625</v>
      </c>
      <c r="X38" s="7">
        <f t="shared" si="6"/>
        <v>27375</v>
      </c>
    </row>
    <row r="39" spans="1:24" ht="19.5" customHeight="1">
      <c r="A39" s="17" t="s">
        <v>96</v>
      </c>
      <c r="B39" s="6" t="s">
        <v>21</v>
      </c>
      <c r="C39" s="7">
        <v>54315</v>
      </c>
      <c r="D39" s="7"/>
      <c r="E39" s="7">
        <f t="shared" si="0"/>
        <v>54315</v>
      </c>
      <c r="F39" s="7">
        <f>-540-16225</f>
        <v>-16765</v>
      </c>
      <c r="G39" s="7">
        <f t="shared" si="0"/>
        <v>37550</v>
      </c>
      <c r="H39" s="7">
        <f>18755+48511</f>
        <v>67266</v>
      </c>
      <c r="I39" s="7"/>
      <c r="J39" s="7">
        <v>62695</v>
      </c>
      <c r="K39" s="7"/>
      <c r="L39" s="7">
        <f t="shared" si="1"/>
        <v>62695</v>
      </c>
      <c r="M39" s="7">
        <v>67266</v>
      </c>
      <c r="N39" s="7"/>
      <c r="O39" s="7">
        <f t="shared" si="2"/>
        <v>67266</v>
      </c>
      <c r="P39" s="7"/>
      <c r="Q39" s="7">
        <f t="shared" si="3"/>
        <v>37550</v>
      </c>
      <c r="R39" s="7">
        <v>37550</v>
      </c>
      <c r="S39" s="7">
        <v>3070</v>
      </c>
      <c r="T39" s="7">
        <f t="shared" si="4"/>
        <v>40620</v>
      </c>
      <c r="U39" s="7"/>
      <c r="V39" s="7">
        <f t="shared" si="5"/>
        <v>40620</v>
      </c>
      <c r="W39" s="7"/>
      <c r="X39" s="7">
        <f t="shared" si="6"/>
        <v>40620</v>
      </c>
    </row>
    <row r="40" spans="1:24" s="8" customFormat="1" ht="15.75">
      <c r="A40" s="16" t="s">
        <v>62</v>
      </c>
      <c r="B40" s="5" t="s">
        <v>22</v>
      </c>
      <c r="C40" s="1">
        <v>45340</v>
      </c>
      <c r="D40" s="1">
        <f>SUM(D41:D41)</f>
        <v>0</v>
      </c>
      <c r="E40" s="1">
        <f t="shared" si="0"/>
        <v>45340</v>
      </c>
      <c r="F40" s="1">
        <f>SUM(F41:F41)</f>
        <v>-2000</v>
      </c>
      <c r="G40" s="1">
        <f t="shared" si="0"/>
        <v>43340</v>
      </c>
      <c r="H40" s="1">
        <f>SUM(H41:H41)</f>
        <v>59262</v>
      </c>
      <c r="I40" s="1">
        <f>SUM(I41:I41)</f>
        <v>0</v>
      </c>
      <c r="J40" s="1">
        <v>55214</v>
      </c>
      <c r="K40" s="1">
        <f>SUM(K41:K41)</f>
        <v>0</v>
      </c>
      <c r="L40" s="1">
        <f t="shared" si="1"/>
        <v>55214</v>
      </c>
      <c r="M40" s="1">
        <v>59262</v>
      </c>
      <c r="N40" s="1">
        <f>SUM(N41:N41)</f>
        <v>0</v>
      </c>
      <c r="O40" s="1">
        <f t="shared" si="2"/>
        <v>59262</v>
      </c>
      <c r="P40" s="1">
        <f>SUM(P41:P41)</f>
        <v>0</v>
      </c>
      <c r="Q40" s="1">
        <f t="shared" si="3"/>
        <v>43340</v>
      </c>
      <c r="R40" s="1">
        <v>43340</v>
      </c>
      <c r="S40" s="1">
        <f>SUM(S41:S41)</f>
        <v>32</v>
      </c>
      <c r="T40" s="1">
        <f t="shared" si="4"/>
        <v>43372</v>
      </c>
      <c r="U40" s="1">
        <f>SUM(U41:U41)</f>
        <v>0</v>
      </c>
      <c r="V40" s="1">
        <f t="shared" si="5"/>
        <v>43372</v>
      </c>
      <c r="W40" s="1">
        <f>SUM(W41:W41)</f>
        <v>0</v>
      </c>
      <c r="X40" s="1">
        <f t="shared" si="6"/>
        <v>43372</v>
      </c>
    </row>
    <row r="41" spans="1:24" ht="16.5" customHeight="1">
      <c r="A41" s="17" t="s">
        <v>97</v>
      </c>
      <c r="B41" s="6" t="s">
        <v>23</v>
      </c>
      <c r="C41" s="7">
        <v>45340</v>
      </c>
      <c r="D41" s="7"/>
      <c r="E41" s="7">
        <f t="shared" si="0"/>
        <v>45340</v>
      </c>
      <c r="F41" s="7">
        <v>-2000</v>
      </c>
      <c r="G41" s="7">
        <f t="shared" si="0"/>
        <v>43340</v>
      </c>
      <c r="H41" s="7">
        <f>11623+47639</f>
        <v>59262</v>
      </c>
      <c r="I41" s="7"/>
      <c r="J41" s="7">
        <v>55214</v>
      </c>
      <c r="K41" s="7"/>
      <c r="L41" s="7">
        <f t="shared" si="1"/>
        <v>55214</v>
      </c>
      <c r="M41" s="7">
        <v>59262</v>
      </c>
      <c r="N41" s="7"/>
      <c r="O41" s="7">
        <f t="shared" si="2"/>
        <v>59262</v>
      </c>
      <c r="P41" s="7"/>
      <c r="Q41" s="7">
        <f t="shared" si="3"/>
        <v>43340</v>
      </c>
      <c r="R41" s="7">
        <v>43340</v>
      </c>
      <c r="S41" s="7">
        <v>32</v>
      </c>
      <c r="T41" s="7">
        <f t="shared" si="4"/>
        <v>43372</v>
      </c>
      <c r="U41" s="7"/>
      <c r="V41" s="7">
        <f t="shared" si="5"/>
        <v>43372</v>
      </c>
      <c r="W41" s="7"/>
      <c r="X41" s="7">
        <f t="shared" si="6"/>
        <v>43372</v>
      </c>
    </row>
    <row r="42" spans="1:24" s="8" customFormat="1" ht="15.75">
      <c r="A42" s="16" t="s">
        <v>63</v>
      </c>
      <c r="B42" s="5" t="s">
        <v>24</v>
      </c>
      <c r="C42" s="1">
        <v>1987953</v>
      </c>
      <c r="D42" s="1">
        <f>SUM(D43:D48)</f>
        <v>-16729</v>
      </c>
      <c r="E42" s="1">
        <f t="shared" si="0"/>
        <v>1971224</v>
      </c>
      <c r="F42" s="1">
        <f>SUM(F43:F48)</f>
        <v>7262</v>
      </c>
      <c r="G42" s="1">
        <f t="shared" si="0"/>
        <v>1978486</v>
      </c>
      <c r="H42" s="1">
        <f>SUM(H43:H48)</f>
        <v>2371237</v>
      </c>
      <c r="I42" s="1">
        <f>SUM(I43:I48)</f>
        <v>250</v>
      </c>
      <c r="J42" s="1">
        <v>2216465</v>
      </c>
      <c r="K42" s="1">
        <f>SUM(K43:K48)</f>
        <v>0</v>
      </c>
      <c r="L42" s="1">
        <f t="shared" si="1"/>
        <v>2216465</v>
      </c>
      <c r="M42" s="1">
        <v>2371487</v>
      </c>
      <c r="N42" s="1">
        <f>SUM(N43:N48)</f>
        <v>0</v>
      </c>
      <c r="O42" s="1">
        <f t="shared" si="2"/>
        <v>2371487</v>
      </c>
      <c r="P42" s="1">
        <f>SUM(P43:P48)</f>
        <v>0</v>
      </c>
      <c r="Q42" s="1">
        <f t="shared" si="3"/>
        <v>1978486</v>
      </c>
      <c r="R42" s="1">
        <v>1978486</v>
      </c>
      <c r="S42" s="1">
        <f>SUM(S43:S48)</f>
        <v>-20347</v>
      </c>
      <c r="T42" s="1">
        <f t="shared" si="4"/>
        <v>1958139</v>
      </c>
      <c r="U42" s="1">
        <f>SUM(U43:U48)</f>
        <v>5022</v>
      </c>
      <c r="V42" s="1">
        <f t="shared" si="5"/>
        <v>1963161</v>
      </c>
      <c r="W42" s="1">
        <f>SUM(W43:W48)</f>
        <v>-5408</v>
      </c>
      <c r="X42" s="1">
        <f t="shared" si="6"/>
        <v>1957753</v>
      </c>
    </row>
    <row r="43" spans="1:24" ht="15.75">
      <c r="A43" s="17" t="s">
        <v>64</v>
      </c>
      <c r="B43" s="6" t="s">
        <v>25</v>
      </c>
      <c r="C43" s="7">
        <v>536115</v>
      </c>
      <c r="D43" s="7">
        <v>-80</v>
      </c>
      <c r="E43" s="7">
        <f aca="true" t="shared" si="7" ref="E43:G78">C43+D43</f>
        <v>536035</v>
      </c>
      <c r="F43" s="7">
        <v>5695</v>
      </c>
      <c r="G43" s="7">
        <f t="shared" si="7"/>
        <v>541730</v>
      </c>
      <c r="H43" s="7">
        <v>618354</v>
      </c>
      <c r="I43" s="7"/>
      <c r="J43" s="7">
        <v>578110</v>
      </c>
      <c r="K43" s="7"/>
      <c r="L43" s="7">
        <f aca="true" t="shared" si="8" ref="L43:L79">J43+K43</f>
        <v>578110</v>
      </c>
      <c r="M43" s="7">
        <v>618354</v>
      </c>
      <c r="N43" s="7"/>
      <c r="O43" s="7">
        <f aca="true" t="shared" si="9" ref="O43:O79">M43+N43</f>
        <v>618354</v>
      </c>
      <c r="P43" s="7"/>
      <c r="Q43" s="7">
        <f t="shared" si="3"/>
        <v>541730</v>
      </c>
      <c r="R43" s="7">
        <v>541730</v>
      </c>
      <c r="S43" s="7">
        <v>-29717</v>
      </c>
      <c r="T43" s="7">
        <f t="shared" si="4"/>
        <v>512013</v>
      </c>
      <c r="U43" s="7"/>
      <c r="V43" s="7">
        <f t="shared" si="5"/>
        <v>512013</v>
      </c>
      <c r="W43" s="7">
        <v>-331</v>
      </c>
      <c r="X43" s="7">
        <f t="shared" si="6"/>
        <v>511682</v>
      </c>
    </row>
    <row r="44" spans="1:24" ht="15.75">
      <c r="A44" s="17" t="s">
        <v>65</v>
      </c>
      <c r="B44" s="6" t="s">
        <v>26</v>
      </c>
      <c r="C44" s="7">
        <v>700822</v>
      </c>
      <c r="D44" s="7"/>
      <c r="E44" s="7">
        <f t="shared" si="7"/>
        <v>700822</v>
      </c>
      <c r="F44" s="7">
        <v>-1309</v>
      </c>
      <c r="G44" s="7">
        <f t="shared" si="7"/>
        <v>699513</v>
      </c>
      <c r="H44" s="7">
        <v>839151</v>
      </c>
      <c r="I44" s="7"/>
      <c r="J44" s="7">
        <v>782790</v>
      </c>
      <c r="K44" s="7"/>
      <c r="L44" s="7">
        <f t="shared" si="8"/>
        <v>782790</v>
      </c>
      <c r="M44" s="7">
        <v>839151</v>
      </c>
      <c r="N44" s="7"/>
      <c r="O44" s="7">
        <f t="shared" si="9"/>
        <v>839151</v>
      </c>
      <c r="P44" s="7"/>
      <c r="Q44" s="7">
        <f t="shared" si="3"/>
        <v>699513</v>
      </c>
      <c r="R44" s="7">
        <v>699513</v>
      </c>
      <c r="S44" s="7">
        <v>-3601</v>
      </c>
      <c r="T44" s="7">
        <f t="shared" si="4"/>
        <v>695912</v>
      </c>
      <c r="U44" s="7"/>
      <c r="V44" s="7">
        <f t="shared" si="5"/>
        <v>695912</v>
      </c>
      <c r="W44" s="7"/>
      <c r="X44" s="7">
        <f t="shared" si="6"/>
        <v>695912</v>
      </c>
    </row>
    <row r="45" spans="1:24" ht="15.75">
      <c r="A45" s="17" t="s">
        <v>66</v>
      </c>
      <c r="B45" s="6" t="s">
        <v>27</v>
      </c>
      <c r="C45" s="7">
        <v>358433</v>
      </c>
      <c r="D45" s="7"/>
      <c r="E45" s="7">
        <f t="shared" si="7"/>
        <v>358433</v>
      </c>
      <c r="F45" s="7">
        <v>-6100</v>
      </c>
      <c r="G45" s="7">
        <f t="shared" si="7"/>
        <v>352333</v>
      </c>
      <c r="H45" s="7">
        <v>449528</v>
      </c>
      <c r="I45" s="7"/>
      <c r="J45" s="7">
        <v>419585</v>
      </c>
      <c r="K45" s="7"/>
      <c r="L45" s="7">
        <f t="shared" si="8"/>
        <v>419585</v>
      </c>
      <c r="M45" s="7">
        <v>449528</v>
      </c>
      <c r="N45" s="7"/>
      <c r="O45" s="7">
        <f t="shared" si="9"/>
        <v>449528</v>
      </c>
      <c r="P45" s="7"/>
      <c r="Q45" s="7">
        <f t="shared" si="3"/>
        <v>352333</v>
      </c>
      <c r="R45" s="7">
        <v>352333</v>
      </c>
      <c r="S45" s="7">
        <f>410-388+641</f>
        <v>663</v>
      </c>
      <c r="T45" s="7">
        <f t="shared" si="4"/>
        <v>352996</v>
      </c>
      <c r="U45" s="7"/>
      <c r="V45" s="7">
        <f t="shared" si="5"/>
        <v>352996</v>
      </c>
      <c r="W45" s="7">
        <v>-1179</v>
      </c>
      <c r="X45" s="7">
        <f t="shared" si="6"/>
        <v>351817</v>
      </c>
    </row>
    <row r="46" spans="1:24" ht="33" customHeight="1">
      <c r="A46" s="17" t="s">
        <v>67</v>
      </c>
      <c r="B46" s="6" t="s">
        <v>98</v>
      </c>
      <c r="C46" s="7">
        <v>55960</v>
      </c>
      <c r="D46" s="7"/>
      <c r="E46" s="7">
        <f t="shared" si="7"/>
        <v>55960</v>
      </c>
      <c r="F46" s="7">
        <f>429+445</f>
        <v>874</v>
      </c>
      <c r="G46" s="7">
        <f t="shared" si="7"/>
        <v>56834</v>
      </c>
      <c r="H46" s="7">
        <f>8039+57505+1049</f>
        <v>66593</v>
      </c>
      <c r="I46" s="7"/>
      <c r="J46" s="7">
        <v>62120</v>
      </c>
      <c r="K46" s="7"/>
      <c r="L46" s="7">
        <f t="shared" si="8"/>
        <v>62120</v>
      </c>
      <c r="M46" s="7">
        <v>66593</v>
      </c>
      <c r="N46" s="7"/>
      <c r="O46" s="7">
        <f t="shared" si="9"/>
        <v>66593</v>
      </c>
      <c r="P46" s="7"/>
      <c r="Q46" s="7">
        <f t="shared" si="3"/>
        <v>56834</v>
      </c>
      <c r="R46" s="7">
        <v>56834</v>
      </c>
      <c r="S46" s="7">
        <f>371+300</f>
        <v>671</v>
      </c>
      <c r="T46" s="7">
        <f t="shared" si="4"/>
        <v>57505</v>
      </c>
      <c r="U46" s="7"/>
      <c r="V46" s="7">
        <f t="shared" si="5"/>
        <v>57505</v>
      </c>
      <c r="W46" s="7">
        <v>100</v>
      </c>
      <c r="X46" s="7">
        <f t="shared" si="6"/>
        <v>57605</v>
      </c>
    </row>
    <row r="47" spans="1:24" ht="15.75">
      <c r="A47" s="17" t="s">
        <v>68</v>
      </c>
      <c r="B47" s="6" t="s">
        <v>28</v>
      </c>
      <c r="C47" s="7">
        <v>59078</v>
      </c>
      <c r="D47" s="7">
        <v>-4000</v>
      </c>
      <c r="E47" s="7">
        <f t="shared" si="7"/>
        <v>55078</v>
      </c>
      <c r="F47" s="7"/>
      <c r="G47" s="7">
        <f t="shared" si="7"/>
        <v>55078</v>
      </c>
      <c r="H47" s="7">
        <f>55045+13797</f>
        <v>68842</v>
      </c>
      <c r="I47" s="7"/>
      <c r="J47" s="7">
        <v>64434</v>
      </c>
      <c r="K47" s="7"/>
      <c r="L47" s="7">
        <f t="shared" si="8"/>
        <v>64434</v>
      </c>
      <c r="M47" s="7">
        <v>68842</v>
      </c>
      <c r="N47" s="7"/>
      <c r="O47" s="7">
        <f t="shared" si="9"/>
        <v>68842</v>
      </c>
      <c r="P47" s="7"/>
      <c r="Q47" s="7">
        <f t="shared" si="3"/>
        <v>55078</v>
      </c>
      <c r="R47" s="7">
        <v>55078</v>
      </c>
      <c r="S47" s="7">
        <f>509+360+650</f>
        <v>1519</v>
      </c>
      <c r="T47" s="7">
        <f t="shared" si="4"/>
        <v>56597</v>
      </c>
      <c r="U47" s="7">
        <v>49</v>
      </c>
      <c r="V47" s="7">
        <f t="shared" si="5"/>
        <v>56646</v>
      </c>
      <c r="W47" s="7">
        <f>-2344+204</f>
        <v>-2140</v>
      </c>
      <c r="X47" s="7">
        <f t="shared" si="6"/>
        <v>54506</v>
      </c>
    </row>
    <row r="48" spans="1:24" ht="15.75">
      <c r="A48" s="17" t="s">
        <v>69</v>
      </c>
      <c r="B48" s="6" t="s">
        <v>29</v>
      </c>
      <c r="C48" s="7">
        <v>277545</v>
      </c>
      <c r="D48" s="7">
        <v>-12649</v>
      </c>
      <c r="E48" s="7">
        <f t="shared" si="7"/>
        <v>264896</v>
      </c>
      <c r="F48" s="7">
        <f>5533+2569</f>
        <v>8102</v>
      </c>
      <c r="G48" s="7">
        <f t="shared" si="7"/>
        <v>272998</v>
      </c>
      <c r="H48" s="7">
        <f>283674+45095</f>
        <v>328769</v>
      </c>
      <c r="I48" s="7">
        <v>250</v>
      </c>
      <c r="J48" s="7">
        <v>309426</v>
      </c>
      <c r="K48" s="7"/>
      <c r="L48" s="7">
        <f t="shared" si="8"/>
        <v>309426</v>
      </c>
      <c r="M48" s="7">
        <v>329019</v>
      </c>
      <c r="N48" s="7"/>
      <c r="O48" s="7">
        <f t="shared" si="9"/>
        <v>329019</v>
      </c>
      <c r="P48" s="7"/>
      <c r="Q48" s="7">
        <f t="shared" si="3"/>
        <v>272998</v>
      </c>
      <c r="R48" s="7">
        <v>272998</v>
      </c>
      <c r="S48" s="7">
        <f>10272-154</f>
        <v>10118</v>
      </c>
      <c r="T48" s="7">
        <f t="shared" si="4"/>
        <v>283116</v>
      </c>
      <c r="U48" s="7">
        <v>4973</v>
      </c>
      <c r="V48" s="7">
        <f t="shared" si="5"/>
        <v>288089</v>
      </c>
      <c r="W48" s="7">
        <f>-2243+385</f>
        <v>-1858</v>
      </c>
      <c r="X48" s="7">
        <f t="shared" si="6"/>
        <v>286231</v>
      </c>
    </row>
    <row r="49" spans="1:24" s="8" customFormat="1" ht="17.25" customHeight="1">
      <c r="A49" s="16" t="s">
        <v>70</v>
      </c>
      <c r="B49" s="5" t="s">
        <v>126</v>
      </c>
      <c r="C49" s="1">
        <v>1328320</v>
      </c>
      <c r="D49" s="1">
        <f>SUM(D50:D52)</f>
        <v>380100</v>
      </c>
      <c r="E49" s="1">
        <f t="shared" si="7"/>
        <v>1708420</v>
      </c>
      <c r="F49" s="1">
        <f>SUM(F50:F52)</f>
        <v>-24400</v>
      </c>
      <c r="G49" s="1">
        <f t="shared" si="7"/>
        <v>1684020</v>
      </c>
      <c r="H49" s="1">
        <f>SUM(H50:H52)</f>
        <v>614017</v>
      </c>
      <c r="I49" s="1">
        <f>SUM(I50:I52)</f>
        <v>-250</v>
      </c>
      <c r="J49" s="1">
        <v>1073363</v>
      </c>
      <c r="K49" s="1">
        <f>SUM(K50:K52)</f>
        <v>0</v>
      </c>
      <c r="L49" s="1">
        <f t="shared" si="8"/>
        <v>1073363</v>
      </c>
      <c r="M49" s="1">
        <v>613767</v>
      </c>
      <c r="N49" s="1">
        <f>SUM(N50:N52)</f>
        <v>0</v>
      </c>
      <c r="O49" s="1">
        <f t="shared" si="9"/>
        <v>613767</v>
      </c>
      <c r="P49" s="1">
        <f>SUM(P50:P52)</f>
        <v>0</v>
      </c>
      <c r="Q49" s="1">
        <f t="shared" si="3"/>
        <v>1684020</v>
      </c>
      <c r="R49" s="1">
        <v>1684020</v>
      </c>
      <c r="S49" s="1">
        <f>SUM(S50:S52)</f>
        <v>1890</v>
      </c>
      <c r="T49" s="1">
        <f t="shared" si="4"/>
        <v>1685910</v>
      </c>
      <c r="U49" s="1">
        <f>SUM(U50:U52)</f>
        <v>0</v>
      </c>
      <c r="V49" s="1">
        <f t="shared" si="5"/>
        <v>1685910</v>
      </c>
      <c r="W49" s="1">
        <f>SUM(W50:W52)</f>
        <v>-4233</v>
      </c>
      <c r="X49" s="1">
        <f t="shared" si="6"/>
        <v>1681677</v>
      </c>
    </row>
    <row r="50" spans="1:24" ht="15.75">
      <c r="A50" s="17" t="s">
        <v>71</v>
      </c>
      <c r="B50" s="6" t="s">
        <v>30</v>
      </c>
      <c r="C50" s="7">
        <v>1285755</v>
      </c>
      <c r="D50" s="7">
        <f>100+380000</f>
        <v>380100</v>
      </c>
      <c r="E50" s="7">
        <f t="shared" si="7"/>
        <v>1665855</v>
      </c>
      <c r="F50" s="7">
        <v>-20900</v>
      </c>
      <c r="G50" s="7">
        <f t="shared" si="7"/>
        <v>1644955</v>
      </c>
      <c r="H50" s="7">
        <v>556396</v>
      </c>
      <c r="I50" s="7">
        <v>250</v>
      </c>
      <c r="J50" s="7">
        <v>1020078</v>
      </c>
      <c r="K50" s="7"/>
      <c r="L50" s="7">
        <f t="shared" si="8"/>
        <v>1020078</v>
      </c>
      <c r="M50" s="7">
        <v>556646</v>
      </c>
      <c r="N50" s="7"/>
      <c r="O50" s="7">
        <f t="shared" si="9"/>
        <v>556646</v>
      </c>
      <c r="P50" s="7"/>
      <c r="Q50" s="7">
        <f t="shared" si="3"/>
        <v>1644955</v>
      </c>
      <c r="R50" s="7">
        <v>1644955</v>
      </c>
      <c r="S50" s="7">
        <f>980-1312+818+388</f>
        <v>874</v>
      </c>
      <c r="T50" s="7">
        <f t="shared" si="4"/>
        <v>1645829</v>
      </c>
      <c r="U50" s="7"/>
      <c r="V50" s="7">
        <f t="shared" si="5"/>
        <v>1645829</v>
      </c>
      <c r="W50" s="7">
        <v>-2573</v>
      </c>
      <c r="X50" s="7">
        <f t="shared" si="6"/>
        <v>1643256</v>
      </c>
    </row>
    <row r="51" spans="1:24" ht="15.75" hidden="1">
      <c r="A51" s="17" t="s">
        <v>72</v>
      </c>
      <c r="B51" s="6" t="s">
        <v>31</v>
      </c>
      <c r="C51" s="7">
        <v>2700</v>
      </c>
      <c r="D51" s="7"/>
      <c r="E51" s="7">
        <f t="shared" si="7"/>
        <v>2700</v>
      </c>
      <c r="F51" s="7"/>
      <c r="G51" s="7">
        <f t="shared" si="7"/>
        <v>2700</v>
      </c>
      <c r="H51" s="7">
        <v>3112</v>
      </c>
      <c r="I51" s="7"/>
      <c r="J51" s="7">
        <v>2903</v>
      </c>
      <c r="K51" s="7"/>
      <c r="L51" s="7">
        <f t="shared" si="8"/>
        <v>2903</v>
      </c>
      <c r="M51" s="7">
        <v>3112</v>
      </c>
      <c r="N51" s="7"/>
      <c r="O51" s="7">
        <f t="shared" si="9"/>
        <v>3112</v>
      </c>
      <c r="P51" s="7"/>
      <c r="Q51" s="7">
        <f t="shared" si="3"/>
        <v>2700</v>
      </c>
      <c r="R51" s="7">
        <v>2700</v>
      </c>
      <c r="S51" s="7">
        <v>-685</v>
      </c>
      <c r="T51" s="7">
        <f t="shared" si="4"/>
        <v>2015</v>
      </c>
      <c r="U51" s="7"/>
      <c r="V51" s="7">
        <f t="shared" si="5"/>
        <v>2015</v>
      </c>
      <c r="W51" s="7">
        <v>-2015</v>
      </c>
      <c r="X51" s="7">
        <f t="shared" si="6"/>
        <v>0</v>
      </c>
    </row>
    <row r="52" spans="1:24" ht="31.5">
      <c r="A52" s="17" t="s">
        <v>73</v>
      </c>
      <c r="B52" s="6" t="s">
        <v>127</v>
      </c>
      <c r="C52" s="7">
        <v>39865</v>
      </c>
      <c r="D52" s="7"/>
      <c r="E52" s="7">
        <f t="shared" si="7"/>
        <v>39865</v>
      </c>
      <c r="F52" s="7">
        <v>-3500</v>
      </c>
      <c r="G52" s="7">
        <f t="shared" si="7"/>
        <v>36365</v>
      </c>
      <c r="H52" s="7">
        <f>2459+52050</f>
        <v>54509</v>
      </c>
      <c r="I52" s="7">
        <v>-500</v>
      </c>
      <c r="J52" s="7">
        <v>50382</v>
      </c>
      <c r="K52" s="7"/>
      <c r="L52" s="7">
        <f t="shared" si="8"/>
        <v>50382</v>
      </c>
      <c r="M52" s="7">
        <v>54009</v>
      </c>
      <c r="N52" s="7"/>
      <c r="O52" s="7">
        <f t="shared" si="9"/>
        <v>54009</v>
      </c>
      <c r="P52" s="7"/>
      <c r="Q52" s="7">
        <f t="shared" si="3"/>
        <v>36365</v>
      </c>
      <c r="R52" s="7">
        <v>36365</v>
      </c>
      <c r="S52" s="7">
        <v>1701</v>
      </c>
      <c r="T52" s="7">
        <f t="shared" si="4"/>
        <v>38066</v>
      </c>
      <c r="U52" s="7"/>
      <c r="V52" s="7">
        <f t="shared" si="5"/>
        <v>38066</v>
      </c>
      <c r="W52" s="7">
        <v>355</v>
      </c>
      <c r="X52" s="7">
        <f t="shared" si="6"/>
        <v>38421</v>
      </c>
    </row>
    <row r="53" spans="1:24" s="8" customFormat="1" ht="15.75">
      <c r="A53" s="16" t="s">
        <v>74</v>
      </c>
      <c r="B53" s="5" t="s">
        <v>99</v>
      </c>
      <c r="C53" s="1">
        <v>2713142</v>
      </c>
      <c r="D53" s="1">
        <f>SUM(D54:D62)</f>
        <v>400137</v>
      </c>
      <c r="E53" s="1">
        <f t="shared" si="7"/>
        <v>3113279</v>
      </c>
      <c r="F53" s="1">
        <f>SUM(F54:F62)</f>
        <v>-48440</v>
      </c>
      <c r="G53" s="1">
        <f t="shared" si="7"/>
        <v>3064839</v>
      </c>
      <c r="H53" s="1">
        <f>SUM(H54:H62)</f>
        <v>3198504</v>
      </c>
      <c r="I53" s="1">
        <f>SUM(I54:I62)</f>
        <v>27658</v>
      </c>
      <c r="J53" s="1">
        <v>3348177</v>
      </c>
      <c r="K53" s="1">
        <f>SUM(K54:K62)</f>
        <v>0</v>
      </c>
      <c r="L53" s="1">
        <f t="shared" si="8"/>
        <v>3348177</v>
      </c>
      <c r="M53" s="1">
        <v>3226162</v>
      </c>
      <c r="N53" s="1">
        <f>SUM(N54:N62)</f>
        <v>0</v>
      </c>
      <c r="O53" s="1">
        <f t="shared" si="9"/>
        <v>3226162</v>
      </c>
      <c r="P53" s="1">
        <f>SUM(P54:P62)</f>
        <v>-2000</v>
      </c>
      <c r="Q53" s="1">
        <f t="shared" si="3"/>
        <v>3062839</v>
      </c>
      <c r="R53" s="1">
        <v>3062839</v>
      </c>
      <c r="S53" s="1">
        <f>SUM(S54:S62)</f>
        <v>-11815</v>
      </c>
      <c r="T53" s="1">
        <f t="shared" si="4"/>
        <v>3051024</v>
      </c>
      <c r="U53" s="1">
        <f>SUM(U54:U62)</f>
        <v>120329</v>
      </c>
      <c r="V53" s="1">
        <f t="shared" si="5"/>
        <v>3171353</v>
      </c>
      <c r="W53" s="1">
        <f>SUM(W54:W62)</f>
        <v>-15136</v>
      </c>
      <c r="X53" s="1">
        <f t="shared" si="6"/>
        <v>3156217</v>
      </c>
    </row>
    <row r="54" spans="1:24" ht="15.75">
      <c r="A54" s="17" t="s">
        <v>75</v>
      </c>
      <c r="B54" s="6" t="s">
        <v>100</v>
      </c>
      <c r="C54" s="7">
        <v>1845918</v>
      </c>
      <c r="D54" s="7">
        <f>-164539+119901-35000</f>
        <v>-79638</v>
      </c>
      <c r="E54" s="7">
        <f t="shared" si="7"/>
        <v>1766280</v>
      </c>
      <c r="F54" s="7">
        <f>-170545-30987</f>
        <v>-201532</v>
      </c>
      <c r="G54" s="7">
        <f t="shared" si="7"/>
        <v>1564748</v>
      </c>
      <c r="H54" s="7">
        <f>722000+1474245</f>
        <v>2196245</v>
      </c>
      <c r="I54" s="7">
        <v>24050</v>
      </c>
      <c r="J54" s="7">
        <v>2409064</v>
      </c>
      <c r="K54" s="7"/>
      <c r="L54" s="7">
        <f t="shared" si="8"/>
        <v>2409064</v>
      </c>
      <c r="M54" s="7">
        <v>2220295</v>
      </c>
      <c r="N54" s="7"/>
      <c r="O54" s="7">
        <f t="shared" si="9"/>
        <v>2220295</v>
      </c>
      <c r="P54" s="7">
        <v>-2000</v>
      </c>
      <c r="Q54" s="7">
        <f t="shared" si="3"/>
        <v>1562748</v>
      </c>
      <c r="R54" s="7">
        <v>1562748</v>
      </c>
      <c r="S54" s="7">
        <f>-6961-141</f>
        <v>-7102</v>
      </c>
      <c r="T54" s="7">
        <f t="shared" si="4"/>
        <v>1555646</v>
      </c>
      <c r="U54" s="7">
        <v>120575</v>
      </c>
      <c r="V54" s="7">
        <f t="shared" si="5"/>
        <v>1676221</v>
      </c>
      <c r="W54" s="7">
        <f>1148-8862</f>
        <v>-7714</v>
      </c>
      <c r="X54" s="7">
        <f t="shared" si="6"/>
        <v>1668507</v>
      </c>
    </row>
    <row r="55" spans="1:24" ht="18.75" customHeight="1">
      <c r="A55" s="17" t="s">
        <v>76</v>
      </c>
      <c r="B55" s="6" t="s">
        <v>101</v>
      </c>
      <c r="C55" s="7">
        <v>112468</v>
      </c>
      <c r="D55" s="7"/>
      <c r="E55" s="7">
        <f t="shared" si="7"/>
        <v>112468</v>
      </c>
      <c r="F55" s="7">
        <v>-536</v>
      </c>
      <c r="G55" s="7">
        <f t="shared" si="7"/>
        <v>111932</v>
      </c>
      <c r="H55" s="7">
        <v>130367</v>
      </c>
      <c r="I55" s="7"/>
      <c r="J55" s="7">
        <v>121611</v>
      </c>
      <c r="K55" s="7"/>
      <c r="L55" s="7">
        <f t="shared" si="8"/>
        <v>121611</v>
      </c>
      <c r="M55" s="7">
        <v>130367</v>
      </c>
      <c r="N55" s="7"/>
      <c r="O55" s="7">
        <f t="shared" si="9"/>
        <v>130367</v>
      </c>
      <c r="P55" s="7"/>
      <c r="Q55" s="7">
        <f t="shared" si="3"/>
        <v>111932</v>
      </c>
      <c r="R55" s="7">
        <v>111932</v>
      </c>
      <c r="S55" s="7">
        <f>-4151-494</f>
        <v>-4645</v>
      </c>
      <c r="T55" s="7">
        <f t="shared" si="4"/>
        <v>107287</v>
      </c>
      <c r="U55" s="7"/>
      <c r="V55" s="7">
        <f t="shared" si="5"/>
        <v>107287</v>
      </c>
      <c r="W55" s="7">
        <v>-1711</v>
      </c>
      <c r="X55" s="7">
        <f t="shared" si="6"/>
        <v>105576</v>
      </c>
    </row>
    <row r="56" spans="1:24" ht="16.5" customHeight="1">
      <c r="A56" s="17" t="s">
        <v>102</v>
      </c>
      <c r="B56" s="6" t="s">
        <v>103</v>
      </c>
      <c r="C56" s="7">
        <v>34610</v>
      </c>
      <c r="D56" s="7"/>
      <c r="E56" s="7">
        <f t="shared" si="7"/>
        <v>34610</v>
      </c>
      <c r="F56" s="7">
        <v>-3150</v>
      </c>
      <c r="G56" s="7">
        <f t="shared" si="7"/>
        <v>31460</v>
      </c>
      <c r="H56" s="7">
        <v>44646</v>
      </c>
      <c r="I56" s="7"/>
      <c r="J56" s="7">
        <v>41648</v>
      </c>
      <c r="K56" s="7"/>
      <c r="L56" s="7">
        <f t="shared" si="8"/>
        <v>41648</v>
      </c>
      <c r="M56" s="7">
        <v>44646</v>
      </c>
      <c r="N56" s="7"/>
      <c r="O56" s="7">
        <f t="shared" si="9"/>
        <v>44646</v>
      </c>
      <c r="P56" s="7"/>
      <c r="Q56" s="7">
        <f t="shared" si="3"/>
        <v>31460</v>
      </c>
      <c r="R56" s="7">
        <v>31460</v>
      </c>
      <c r="S56" s="7">
        <f>-871+135</f>
        <v>-736</v>
      </c>
      <c r="T56" s="7">
        <f t="shared" si="4"/>
        <v>30724</v>
      </c>
      <c r="U56" s="7"/>
      <c r="V56" s="7">
        <f t="shared" si="5"/>
        <v>30724</v>
      </c>
      <c r="W56" s="7">
        <v>-2308</v>
      </c>
      <c r="X56" s="7">
        <f t="shared" si="6"/>
        <v>28416</v>
      </c>
    </row>
    <row r="57" spans="1:24" ht="15.75">
      <c r="A57" s="17" t="s">
        <v>77</v>
      </c>
      <c r="B57" s="6" t="s">
        <v>104</v>
      </c>
      <c r="C57" s="7">
        <v>16575</v>
      </c>
      <c r="D57" s="7"/>
      <c r="E57" s="7">
        <f t="shared" si="7"/>
        <v>16575</v>
      </c>
      <c r="F57" s="7">
        <v>267</v>
      </c>
      <c r="G57" s="7">
        <f t="shared" si="7"/>
        <v>16842</v>
      </c>
      <c r="H57" s="7">
        <v>20473</v>
      </c>
      <c r="I57" s="7"/>
      <c r="J57" s="7">
        <v>19098</v>
      </c>
      <c r="K57" s="7"/>
      <c r="L57" s="7">
        <f t="shared" si="8"/>
        <v>19098</v>
      </c>
      <c r="M57" s="7">
        <v>20473</v>
      </c>
      <c r="N57" s="7"/>
      <c r="O57" s="7">
        <f t="shared" si="9"/>
        <v>20473</v>
      </c>
      <c r="P57" s="7"/>
      <c r="Q57" s="7">
        <f t="shared" si="3"/>
        <v>16842</v>
      </c>
      <c r="R57" s="7">
        <v>16842</v>
      </c>
      <c r="S57" s="7">
        <f>291+500</f>
        <v>791</v>
      </c>
      <c r="T57" s="7">
        <f t="shared" si="4"/>
        <v>17633</v>
      </c>
      <c r="U57" s="7"/>
      <c r="V57" s="7">
        <f t="shared" si="5"/>
        <v>17633</v>
      </c>
      <c r="W57" s="7">
        <v>-377</v>
      </c>
      <c r="X57" s="7">
        <f t="shared" si="6"/>
        <v>17256</v>
      </c>
    </row>
    <row r="58" spans="1:24" ht="15.75">
      <c r="A58" s="17" t="s">
        <v>105</v>
      </c>
      <c r="B58" s="6" t="s">
        <v>106</v>
      </c>
      <c r="C58" s="7">
        <v>49735</v>
      </c>
      <c r="D58" s="7">
        <v>-1487</v>
      </c>
      <c r="E58" s="7">
        <f t="shared" si="7"/>
        <v>48248</v>
      </c>
      <c r="F58" s="7">
        <v>-3856</v>
      </c>
      <c r="G58" s="7">
        <f t="shared" si="7"/>
        <v>44392</v>
      </c>
      <c r="H58" s="7">
        <v>58693</v>
      </c>
      <c r="I58" s="7"/>
      <c r="J58" s="7">
        <v>54751</v>
      </c>
      <c r="K58" s="7"/>
      <c r="L58" s="7">
        <f t="shared" si="8"/>
        <v>54751</v>
      </c>
      <c r="M58" s="7">
        <v>58693</v>
      </c>
      <c r="N58" s="7"/>
      <c r="O58" s="7">
        <f t="shared" si="9"/>
        <v>58693</v>
      </c>
      <c r="P58" s="7"/>
      <c r="Q58" s="7">
        <f t="shared" si="3"/>
        <v>44392</v>
      </c>
      <c r="R58" s="7">
        <v>44392</v>
      </c>
      <c r="S58" s="7">
        <v>-863</v>
      </c>
      <c r="T58" s="7">
        <f t="shared" si="4"/>
        <v>43529</v>
      </c>
      <c r="U58" s="7"/>
      <c r="V58" s="7">
        <f t="shared" si="5"/>
        <v>43529</v>
      </c>
      <c r="W58" s="7">
        <v>-306</v>
      </c>
      <c r="X58" s="7">
        <f t="shared" si="6"/>
        <v>43223</v>
      </c>
    </row>
    <row r="59" spans="1:24" ht="31.5">
      <c r="A59" s="17" t="s">
        <v>107</v>
      </c>
      <c r="B59" s="6" t="s">
        <v>130</v>
      </c>
      <c r="C59" s="7">
        <v>73043</v>
      </c>
      <c r="D59" s="7"/>
      <c r="E59" s="7">
        <f t="shared" si="7"/>
        <v>73043</v>
      </c>
      <c r="F59" s="7">
        <v>781</v>
      </c>
      <c r="G59" s="7">
        <f t="shared" si="7"/>
        <v>73824</v>
      </c>
      <c r="H59" s="7">
        <v>88286</v>
      </c>
      <c r="I59" s="7"/>
      <c r="J59" s="7">
        <v>82356</v>
      </c>
      <c r="K59" s="7"/>
      <c r="L59" s="7">
        <f t="shared" si="8"/>
        <v>82356</v>
      </c>
      <c r="M59" s="7">
        <v>88286</v>
      </c>
      <c r="N59" s="7"/>
      <c r="O59" s="7">
        <f t="shared" si="9"/>
        <v>88286</v>
      </c>
      <c r="P59" s="7"/>
      <c r="Q59" s="7">
        <f t="shared" si="3"/>
        <v>73824</v>
      </c>
      <c r="R59" s="7">
        <v>73824</v>
      </c>
      <c r="S59" s="7">
        <v>680</v>
      </c>
      <c r="T59" s="7">
        <f t="shared" si="4"/>
        <v>74504</v>
      </c>
      <c r="U59" s="7"/>
      <c r="V59" s="7">
        <f t="shared" si="5"/>
        <v>74504</v>
      </c>
      <c r="W59" s="7">
        <v>-226</v>
      </c>
      <c r="X59" s="7">
        <f t="shared" si="6"/>
        <v>74278</v>
      </c>
    </row>
    <row r="60" spans="1:24" ht="15.75">
      <c r="A60" s="17" t="s">
        <v>108</v>
      </c>
      <c r="B60" s="6" t="s">
        <v>109</v>
      </c>
      <c r="C60" s="7">
        <v>18000</v>
      </c>
      <c r="D60" s="7"/>
      <c r="E60" s="7">
        <f t="shared" si="7"/>
        <v>18000</v>
      </c>
      <c r="F60" s="7"/>
      <c r="G60" s="7">
        <f t="shared" si="7"/>
        <v>18000</v>
      </c>
      <c r="H60" s="7">
        <v>20743</v>
      </c>
      <c r="I60" s="7"/>
      <c r="J60" s="7">
        <v>19350</v>
      </c>
      <c r="K60" s="7"/>
      <c r="L60" s="7">
        <f t="shared" si="8"/>
        <v>19350</v>
      </c>
      <c r="M60" s="7">
        <v>20743</v>
      </c>
      <c r="N60" s="7"/>
      <c r="O60" s="7">
        <f t="shared" si="9"/>
        <v>20743</v>
      </c>
      <c r="P60" s="7"/>
      <c r="Q60" s="7">
        <f t="shared" si="3"/>
        <v>18000</v>
      </c>
      <c r="R60" s="7">
        <v>18000</v>
      </c>
      <c r="S60" s="7"/>
      <c r="T60" s="7">
        <f t="shared" si="4"/>
        <v>18000</v>
      </c>
      <c r="U60" s="7"/>
      <c r="V60" s="7">
        <f t="shared" si="5"/>
        <v>18000</v>
      </c>
      <c r="W60" s="7"/>
      <c r="X60" s="7">
        <f t="shared" si="6"/>
        <v>18000</v>
      </c>
    </row>
    <row r="61" spans="1:24" ht="15.75">
      <c r="A61" s="17" t="s">
        <v>110</v>
      </c>
      <c r="B61" s="6" t="s">
        <v>111</v>
      </c>
      <c r="C61" s="7">
        <v>227149</v>
      </c>
      <c r="D61" s="7"/>
      <c r="E61" s="7">
        <f t="shared" si="7"/>
        <v>227149</v>
      </c>
      <c r="F61" s="7">
        <f>-5000-8775</f>
        <v>-13775</v>
      </c>
      <c r="G61" s="7">
        <f t="shared" si="7"/>
        <v>213374</v>
      </c>
      <c r="H61" s="7">
        <f>209633+26600</f>
        <v>236233</v>
      </c>
      <c r="I61" s="7"/>
      <c r="J61" s="7">
        <v>221147</v>
      </c>
      <c r="K61" s="7"/>
      <c r="L61" s="7">
        <f t="shared" si="8"/>
        <v>221147</v>
      </c>
      <c r="M61" s="7">
        <v>236233</v>
      </c>
      <c r="N61" s="7"/>
      <c r="O61" s="7">
        <f t="shared" si="9"/>
        <v>236233</v>
      </c>
      <c r="P61" s="7"/>
      <c r="Q61" s="7">
        <f t="shared" si="3"/>
        <v>213374</v>
      </c>
      <c r="R61" s="7">
        <v>213374</v>
      </c>
      <c r="S61" s="7">
        <f>16900-33649+15254</f>
        <v>-1495</v>
      </c>
      <c r="T61" s="7">
        <f t="shared" si="4"/>
        <v>211879</v>
      </c>
      <c r="U61" s="7"/>
      <c r="V61" s="7">
        <f t="shared" si="5"/>
        <v>211879</v>
      </c>
      <c r="W61" s="7">
        <v>-1600</v>
      </c>
      <c r="X61" s="7">
        <f t="shared" si="6"/>
        <v>210279</v>
      </c>
    </row>
    <row r="62" spans="1:24" ht="31.5">
      <c r="A62" s="17" t="s">
        <v>113</v>
      </c>
      <c r="B62" s="6" t="s">
        <v>112</v>
      </c>
      <c r="C62" s="7">
        <v>335644</v>
      </c>
      <c r="D62" s="7">
        <f>227525+252860+877</f>
        <v>481262</v>
      </c>
      <c r="E62" s="7">
        <f t="shared" si="7"/>
        <v>816906</v>
      </c>
      <c r="F62" s="7">
        <f>175180-1819</f>
        <v>173361</v>
      </c>
      <c r="G62" s="7">
        <f t="shared" si="7"/>
        <v>990267</v>
      </c>
      <c r="H62" s="7">
        <f>340645+62173</f>
        <v>402818</v>
      </c>
      <c r="I62" s="7">
        <v>3608</v>
      </c>
      <c r="J62" s="7">
        <v>379152</v>
      </c>
      <c r="K62" s="7"/>
      <c r="L62" s="7">
        <f t="shared" si="8"/>
        <v>379152</v>
      </c>
      <c r="M62" s="7">
        <v>406426</v>
      </c>
      <c r="N62" s="7"/>
      <c r="O62" s="7">
        <f t="shared" si="9"/>
        <v>406426</v>
      </c>
      <c r="P62" s="7"/>
      <c r="Q62" s="7">
        <f t="shared" si="3"/>
        <v>990267</v>
      </c>
      <c r="R62" s="7">
        <v>990267</v>
      </c>
      <c r="S62" s="7">
        <f>3290-1735</f>
        <v>1555</v>
      </c>
      <c r="T62" s="7">
        <f t="shared" si="4"/>
        <v>991822</v>
      </c>
      <c r="U62" s="7">
        <v>-246</v>
      </c>
      <c r="V62" s="7">
        <f t="shared" si="5"/>
        <v>991576</v>
      </c>
      <c r="W62" s="7">
        <f>-1483+589</f>
        <v>-894</v>
      </c>
      <c r="X62" s="7">
        <f t="shared" si="6"/>
        <v>990682</v>
      </c>
    </row>
    <row r="63" spans="1:24" s="8" customFormat="1" ht="15.75">
      <c r="A63" s="16" t="s">
        <v>78</v>
      </c>
      <c r="B63" s="5" t="s">
        <v>32</v>
      </c>
      <c r="C63" s="1">
        <v>1961577</v>
      </c>
      <c r="D63" s="1">
        <f>SUM(D64:D68)</f>
        <v>-11044</v>
      </c>
      <c r="E63" s="1">
        <f t="shared" si="7"/>
        <v>1950533</v>
      </c>
      <c r="F63" s="1">
        <f>SUM(F64:F68)</f>
        <v>-56879</v>
      </c>
      <c r="G63" s="1">
        <f t="shared" si="7"/>
        <v>1893654</v>
      </c>
      <c r="H63" s="1">
        <f>SUM(H64:H68)</f>
        <v>2243994</v>
      </c>
      <c r="I63" s="1">
        <f>SUM(I64:I68)</f>
        <v>147170</v>
      </c>
      <c r="J63" s="1">
        <v>2145414</v>
      </c>
      <c r="K63" s="1">
        <f>SUM(K64:K68)</f>
        <v>0</v>
      </c>
      <c r="L63" s="1">
        <f t="shared" si="8"/>
        <v>2145414</v>
      </c>
      <c r="M63" s="1">
        <v>2391164</v>
      </c>
      <c r="N63" s="1">
        <f>SUM(N64:N68)</f>
        <v>0</v>
      </c>
      <c r="O63" s="1">
        <f t="shared" si="9"/>
        <v>2391164</v>
      </c>
      <c r="P63" s="1">
        <f>SUM(P64:P68)</f>
        <v>300184</v>
      </c>
      <c r="Q63" s="1">
        <f t="shared" si="3"/>
        <v>2193838</v>
      </c>
      <c r="R63" s="1">
        <v>2193838</v>
      </c>
      <c r="S63" s="1">
        <f>SUM(S64:S68)</f>
        <v>25820</v>
      </c>
      <c r="T63" s="1">
        <f t="shared" si="4"/>
        <v>2219658</v>
      </c>
      <c r="U63" s="1">
        <f>SUM(U64:U68)</f>
        <v>294326</v>
      </c>
      <c r="V63" s="1">
        <f t="shared" si="5"/>
        <v>2513984</v>
      </c>
      <c r="W63" s="1">
        <f>SUM(W64:W68)</f>
        <v>1337</v>
      </c>
      <c r="X63" s="1">
        <f t="shared" si="6"/>
        <v>2515321</v>
      </c>
    </row>
    <row r="64" spans="1:24" ht="15.75">
      <c r="A64" s="17">
        <v>1001</v>
      </c>
      <c r="B64" s="6" t="s">
        <v>33</v>
      </c>
      <c r="C64" s="7">
        <v>45194</v>
      </c>
      <c r="D64" s="7">
        <v>-4687</v>
      </c>
      <c r="E64" s="7">
        <f t="shared" si="7"/>
        <v>40507</v>
      </c>
      <c r="F64" s="7">
        <v>587</v>
      </c>
      <c r="G64" s="7">
        <f t="shared" si="7"/>
        <v>41094</v>
      </c>
      <c r="H64" s="7">
        <v>54677</v>
      </c>
      <c r="I64" s="7"/>
      <c r="J64" s="7">
        <v>51004</v>
      </c>
      <c r="K64" s="7"/>
      <c r="L64" s="7">
        <f t="shared" si="8"/>
        <v>51004</v>
      </c>
      <c r="M64" s="7">
        <v>54677</v>
      </c>
      <c r="N64" s="7"/>
      <c r="O64" s="7">
        <f t="shared" si="9"/>
        <v>54677</v>
      </c>
      <c r="P64" s="7"/>
      <c r="Q64" s="7">
        <f t="shared" si="3"/>
        <v>41094</v>
      </c>
      <c r="R64" s="7">
        <v>41094</v>
      </c>
      <c r="S64" s="7"/>
      <c r="T64" s="7">
        <f t="shared" si="4"/>
        <v>41094</v>
      </c>
      <c r="U64" s="7"/>
      <c r="V64" s="7">
        <f t="shared" si="5"/>
        <v>41094</v>
      </c>
      <c r="W64" s="7"/>
      <c r="X64" s="7">
        <f t="shared" si="6"/>
        <v>41094</v>
      </c>
    </row>
    <row r="65" spans="1:24" ht="15.75">
      <c r="A65" s="17">
        <v>1002</v>
      </c>
      <c r="B65" s="6" t="s">
        <v>34</v>
      </c>
      <c r="C65" s="7">
        <v>865786</v>
      </c>
      <c r="D65" s="7">
        <v>-58811</v>
      </c>
      <c r="E65" s="7">
        <f t="shared" si="7"/>
        <v>806975</v>
      </c>
      <c r="F65" s="7">
        <v>-17482</v>
      </c>
      <c r="G65" s="7">
        <f t="shared" si="7"/>
        <v>789493</v>
      </c>
      <c r="H65" s="7">
        <v>974348</v>
      </c>
      <c r="I65" s="7"/>
      <c r="J65" s="7">
        <v>908906</v>
      </c>
      <c r="K65" s="7"/>
      <c r="L65" s="7">
        <f t="shared" si="8"/>
        <v>908906</v>
      </c>
      <c r="M65" s="7">
        <v>974348</v>
      </c>
      <c r="N65" s="7"/>
      <c r="O65" s="7">
        <f t="shared" si="9"/>
        <v>974348</v>
      </c>
      <c r="P65" s="7"/>
      <c r="Q65" s="7">
        <f t="shared" si="3"/>
        <v>789493</v>
      </c>
      <c r="R65" s="7">
        <v>789493</v>
      </c>
      <c r="S65" s="7">
        <f>1016-17140</f>
        <v>-16124</v>
      </c>
      <c r="T65" s="7">
        <f t="shared" si="4"/>
        <v>773369</v>
      </c>
      <c r="U65" s="7">
        <v>-49</v>
      </c>
      <c r="V65" s="7">
        <f t="shared" si="5"/>
        <v>773320</v>
      </c>
      <c r="W65" s="7">
        <v>-22062</v>
      </c>
      <c r="X65" s="7">
        <f t="shared" si="6"/>
        <v>751258</v>
      </c>
    </row>
    <row r="66" spans="1:24" ht="15.75">
      <c r="A66" s="17">
        <v>1003</v>
      </c>
      <c r="B66" s="6" t="s">
        <v>35</v>
      </c>
      <c r="C66" s="7">
        <v>958944</v>
      </c>
      <c r="D66" s="7">
        <f>146222+7484-101677</f>
        <v>52029</v>
      </c>
      <c r="E66" s="7">
        <f t="shared" si="7"/>
        <v>1010973</v>
      </c>
      <c r="F66" s="7">
        <f>10000-27075-21558</f>
        <v>-38633</v>
      </c>
      <c r="G66" s="7">
        <f t="shared" si="7"/>
        <v>972340</v>
      </c>
      <c r="H66" s="7">
        <f>339727+1000+533753+222278</f>
        <v>1096758</v>
      </c>
      <c r="I66" s="7">
        <f>34570+112600</f>
        <v>147170</v>
      </c>
      <c r="J66" s="7">
        <v>1075240</v>
      </c>
      <c r="K66" s="7"/>
      <c r="L66" s="7">
        <f t="shared" si="8"/>
        <v>1075240</v>
      </c>
      <c r="M66" s="7">
        <v>1243928</v>
      </c>
      <c r="N66" s="7"/>
      <c r="O66" s="7">
        <f t="shared" si="9"/>
        <v>1243928</v>
      </c>
      <c r="P66" s="7">
        <v>300184</v>
      </c>
      <c r="Q66" s="7">
        <f t="shared" si="3"/>
        <v>1272524</v>
      </c>
      <c r="R66" s="7">
        <v>1272524</v>
      </c>
      <c r="S66" s="7">
        <f>16182+28211</f>
        <v>44393</v>
      </c>
      <c r="T66" s="7">
        <f t="shared" si="4"/>
        <v>1316917</v>
      </c>
      <c r="U66" s="7">
        <f>296023-3059</f>
        <v>292964</v>
      </c>
      <c r="V66" s="7">
        <f t="shared" si="5"/>
        <v>1609881</v>
      </c>
      <c r="W66" s="7">
        <f>724-3800+6326+22356</f>
        <v>25606</v>
      </c>
      <c r="X66" s="7">
        <f t="shared" si="6"/>
        <v>1635487</v>
      </c>
    </row>
    <row r="67" spans="1:24" ht="15.75">
      <c r="A67" s="17">
        <v>1004</v>
      </c>
      <c r="B67" s="6" t="s">
        <v>128</v>
      </c>
      <c r="C67" s="7">
        <v>41535</v>
      </c>
      <c r="D67" s="7">
        <v>425</v>
      </c>
      <c r="E67" s="7">
        <f t="shared" si="7"/>
        <v>41960</v>
      </c>
      <c r="F67" s="7">
        <f>-218-546</f>
        <v>-764</v>
      </c>
      <c r="G67" s="7">
        <f t="shared" si="7"/>
        <v>41196</v>
      </c>
      <c r="H67" s="7">
        <v>49246</v>
      </c>
      <c r="I67" s="7"/>
      <c r="J67" s="7">
        <v>45931</v>
      </c>
      <c r="K67" s="7"/>
      <c r="L67" s="7">
        <f t="shared" si="8"/>
        <v>45931</v>
      </c>
      <c r="M67" s="7">
        <v>49246</v>
      </c>
      <c r="N67" s="7"/>
      <c r="O67" s="7">
        <f t="shared" si="9"/>
        <v>49246</v>
      </c>
      <c r="P67" s="7"/>
      <c r="Q67" s="7">
        <f t="shared" si="3"/>
        <v>41196</v>
      </c>
      <c r="R67" s="7">
        <v>41196</v>
      </c>
      <c r="S67" s="7">
        <v>-4160</v>
      </c>
      <c r="T67" s="7">
        <f t="shared" si="4"/>
        <v>37036</v>
      </c>
      <c r="U67" s="7">
        <v>1411</v>
      </c>
      <c r="V67" s="7">
        <f t="shared" si="5"/>
        <v>38447</v>
      </c>
      <c r="W67" s="7">
        <v>-2561</v>
      </c>
      <c r="X67" s="7">
        <f t="shared" si="6"/>
        <v>35886</v>
      </c>
    </row>
    <row r="68" spans="1:24" ht="15.75">
      <c r="A68" s="17">
        <v>1006</v>
      </c>
      <c r="B68" s="6" t="s">
        <v>36</v>
      </c>
      <c r="C68" s="7">
        <v>50118</v>
      </c>
      <c r="D68" s="7"/>
      <c r="E68" s="7">
        <f t="shared" si="7"/>
        <v>50118</v>
      </c>
      <c r="F68" s="7">
        <v>-587</v>
      </c>
      <c r="G68" s="7">
        <f t="shared" si="7"/>
        <v>49531</v>
      </c>
      <c r="H68" s="7">
        <v>68965</v>
      </c>
      <c r="I68" s="7"/>
      <c r="J68" s="7">
        <v>64333</v>
      </c>
      <c r="K68" s="7"/>
      <c r="L68" s="7">
        <f t="shared" si="8"/>
        <v>64333</v>
      </c>
      <c r="M68" s="7">
        <v>68965</v>
      </c>
      <c r="N68" s="7"/>
      <c r="O68" s="7">
        <f t="shared" si="9"/>
        <v>68965</v>
      </c>
      <c r="P68" s="7"/>
      <c r="Q68" s="7">
        <f t="shared" si="3"/>
        <v>49531</v>
      </c>
      <c r="R68" s="7">
        <v>49531</v>
      </c>
      <c r="S68" s="7">
        <v>1711</v>
      </c>
      <c r="T68" s="7">
        <f t="shared" si="4"/>
        <v>51242</v>
      </c>
      <c r="U68" s="7"/>
      <c r="V68" s="7">
        <f t="shared" si="5"/>
        <v>51242</v>
      </c>
      <c r="W68" s="7">
        <f>355-1</f>
        <v>354</v>
      </c>
      <c r="X68" s="7">
        <f t="shared" si="6"/>
        <v>51596</v>
      </c>
    </row>
    <row r="69" spans="1:24" s="8" customFormat="1" ht="15.75">
      <c r="A69" s="16">
        <v>1100</v>
      </c>
      <c r="B69" s="5" t="s">
        <v>37</v>
      </c>
      <c r="C69" s="1">
        <v>18852238</v>
      </c>
      <c r="D69" s="1">
        <f>SUM(D70:D74)</f>
        <v>2599133</v>
      </c>
      <c r="E69" s="1">
        <f t="shared" si="7"/>
        <v>21451371</v>
      </c>
      <c r="F69" s="1">
        <f>SUM(F70:F74)</f>
        <v>-921106</v>
      </c>
      <c r="G69" s="1">
        <f t="shared" si="7"/>
        <v>20530265</v>
      </c>
      <c r="H69" s="1">
        <f>SUM(H70:H74)</f>
        <v>19804802</v>
      </c>
      <c r="I69" s="1">
        <f>SUM(I70:I74)</f>
        <v>-1826648</v>
      </c>
      <c r="J69" s="1">
        <v>18972639</v>
      </c>
      <c r="K69" s="1">
        <f>SUM(K70:K74)</f>
        <v>0</v>
      </c>
      <c r="L69" s="1">
        <f t="shared" si="8"/>
        <v>18972639</v>
      </c>
      <c r="M69" s="1">
        <v>17978154</v>
      </c>
      <c r="N69" s="1">
        <f>SUM(N70:N74)</f>
        <v>0</v>
      </c>
      <c r="O69" s="1">
        <f t="shared" si="9"/>
        <v>17978154</v>
      </c>
      <c r="P69" s="1">
        <f>SUM(P70:P74)</f>
        <v>68035</v>
      </c>
      <c r="Q69" s="1">
        <f>SUM(Q70:Q74)</f>
        <v>20598300</v>
      </c>
      <c r="R69" s="1">
        <v>20598300</v>
      </c>
      <c r="S69" s="1">
        <f>SUM(S70:S74)</f>
        <v>793521</v>
      </c>
      <c r="T69" s="1">
        <f t="shared" si="4"/>
        <v>21391821</v>
      </c>
      <c r="U69" s="1">
        <f>SUM(U70:U74)</f>
        <v>-64931</v>
      </c>
      <c r="V69" s="1">
        <f t="shared" si="5"/>
        <v>21326890</v>
      </c>
      <c r="W69" s="1">
        <f>SUM(W70:W74)</f>
        <v>74084</v>
      </c>
      <c r="X69" s="1">
        <v>21398974</v>
      </c>
    </row>
    <row r="70" spans="1:24" ht="31.5">
      <c r="A70" s="17">
        <v>1101</v>
      </c>
      <c r="B70" s="6" t="s">
        <v>121</v>
      </c>
      <c r="C70" s="7">
        <v>2540778</v>
      </c>
      <c r="D70" s="7">
        <v>17215</v>
      </c>
      <c r="E70" s="7">
        <f t="shared" si="7"/>
        <v>2557993</v>
      </c>
      <c r="F70" s="7"/>
      <c r="G70" s="7">
        <f t="shared" si="7"/>
        <v>2557993</v>
      </c>
      <c r="H70" s="7">
        <v>4514001</v>
      </c>
      <c r="I70" s="7">
        <v>-1650770</v>
      </c>
      <c r="J70" s="7">
        <v>2654793</v>
      </c>
      <c r="K70" s="7"/>
      <c r="L70" s="7">
        <f t="shared" si="8"/>
        <v>2654793</v>
      </c>
      <c r="M70" s="7">
        <v>2863231</v>
      </c>
      <c r="N70" s="7"/>
      <c r="O70" s="7">
        <f t="shared" si="9"/>
        <v>2863231</v>
      </c>
      <c r="P70" s="7">
        <v>68035</v>
      </c>
      <c r="Q70" s="7">
        <f t="shared" si="3"/>
        <v>2626028</v>
      </c>
      <c r="R70" s="7">
        <v>2626028</v>
      </c>
      <c r="S70" s="7"/>
      <c r="T70" s="7">
        <f t="shared" si="4"/>
        <v>2626028</v>
      </c>
      <c r="U70" s="7"/>
      <c r="V70" s="7">
        <f t="shared" si="5"/>
        <v>2626028</v>
      </c>
      <c r="W70" s="7"/>
      <c r="X70" s="7">
        <f t="shared" si="6"/>
        <v>2626028</v>
      </c>
    </row>
    <row r="71" spans="1:24" ht="32.25" customHeight="1">
      <c r="A71" s="17" t="s">
        <v>114</v>
      </c>
      <c r="B71" s="6" t="s">
        <v>122</v>
      </c>
      <c r="C71" s="7">
        <v>5180742</v>
      </c>
      <c r="D71" s="7">
        <f>13480+87794+266+609961+976750+10575+35000</f>
        <v>1733826</v>
      </c>
      <c r="E71" s="7">
        <f t="shared" si="7"/>
        <v>6914568</v>
      </c>
      <c r="F71" s="7">
        <f>-9000-123167-11480+720-84639-584642</f>
        <v>-812208</v>
      </c>
      <c r="G71" s="7">
        <f t="shared" si="7"/>
        <v>6102360</v>
      </c>
      <c r="H71" s="7">
        <f>1741870+259760+5000+199665+16000</f>
        <v>2222295</v>
      </c>
      <c r="I71" s="7">
        <f>-1050-112600-34570-27658</f>
        <v>-175878</v>
      </c>
      <c r="J71" s="7">
        <v>4194881</v>
      </c>
      <c r="K71" s="7"/>
      <c r="L71" s="7">
        <f t="shared" si="8"/>
        <v>4194881</v>
      </c>
      <c r="M71" s="7">
        <v>2046417</v>
      </c>
      <c r="N71" s="7"/>
      <c r="O71" s="7">
        <f t="shared" si="9"/>
        <v>2046417</v>
      </c>
      <c r="P71" s="7"/>
      <c r="Q71" s="7">
        <f t="shared" si="3"/>
        <v>6102360</v>
      </c>
      <c r="R71" s="7">
        <v>6102360</v>
      </c>
      <c r="S71" s="7">
        <f>504700+34202+24330+85501-50118+12360+7746+12383</f>
        <v>631104</v>
      </c>
      <c r="T71" s="7">
        <f t="shared" si="4"/>
        <v>6733464</v>
      </c>
      <c r="U71" s="7">
        <f>6000-9500-983+60296</f>
        <v>55813</v>
      </c>
      <c r="V71" s="7">
        <f t="shared" si="5"/>
        <v>6789277</v>
      </c>
      <c r="W71" s="7">
        <f>62800+97518-41917-96-1680+10000+27939+2000</f>
        <v>156564</v>
      </c>
      <c r="X71" s="22">
        <v>6943841</v>
      </c>
    </row>
    <row r="72" spans="1:24" ht="30.75" customHeight="1">
      <c r="A72" s="17" t="s">
        <v>115</v>
      </c>
      <c r="B72" s="6" t="s">
        <v>123</v>
      </c>
      <c r="C72" s="7">
        <v>8360071</v>
      </c>
      <c r="D72" s="7">
        <f>274352+101+313313+66285</f>
        <v>654051</v>
      </c>
      <c r="E72" s="7">
        <f t="shared" si="7"/>
        <v>9014122</v>
      </c>
      <c r="F72" s="7">
        <f>148859+546-271729+1819</f>
        <v>-120505</v>
      </c>
      <c r="G72" s="7">
        <f t="shared" si="7"/>
        <v>8893617</v>
      </c>
      <c r="H72" s="7">
        <f>2817615+11354+6899945+338114</f>
        <v>10067028</v>
      </c>
      <c r="I72" s="7"/>
      <c r="J72" s="7">
        <v>9224989</v>
      </c>
      <c r="K72" s="7"/>
      <c r="L72" s="7">
        <f t="shared" si="8"/>
        <v>9224989</v>
      </c>
      <c r="M72" s="7">
        <v>10067028</v>
      </c>
      <c r="N72" s="7"/>
      <c r="O72" s="7">
        <f t="shared" si="9"/>
        <v>10067028</v>
      </c>
      <c r="P72" s="7"/>
      <c r="Q72" s="7">
        <f t="shared" si="3"/>
        <v>8893617</v>
      </c>
      <c r="R72" s="7">
        <v>8893617</v>
      </c>
      <c r="S72" s="7">
        <f>-10000-50000-2058+2+229850-5907+308</f>
        <v>162195</v>
      </c>
      <c r="T72" s="7">
        <f t="shared" si="4"/>
        <v>9055812</v>
      </c>
      <c r="U72" s="7">
        <f>1840-13707-119323</f>
        <v>-131190</v>
      </c>
      <c r="V72" s="7">
        <f t="shared" si="5"/>
        <v>8924622</v>
      </c>
      <c r="W72" s="7">
        <f>-63853+1334-30255</f>
        <v>-92774</v>
      </c>
      <c r="X72" s="7">
        <f t="shared" si="6"/>
        <v>8831848</v>
      </c>
    </row>
    <row r="73" spans="1:24" ht="15.75">
      <c r="A73" s="17" t="s">
        <v>116</v>
      </c>
      <c r="B73" s="6" t="s">
        <v>117</v>
      </c>
      <c r="C73" s="7">
        <v>768262</v>
      </c>
      <c r="D73" s="7">
        <v>-17215</v>
      </c>
      <c r="E73" s="7">
        <f t="shared" si="7"/>
        <v>751047</v>
      </c>
      <c r="F73" s="7">
        <v>10000</v>
      </c>
      <c r="G73" s="7">
        <f t="shared" si="7"/>
        <v>761047</v>
      </c>
      <c r="H73" s="7">
        <f>407620+50341+5670</f>
        <v>463631</v>
      </c>
      <c r="I73" s="7"/>
      <c r="J73" s="7">
        <v>529775</v>
      </c>
      <c r="K73" s="7"/>
      <c r="L73" s="7">
        <f t="shared" si="8"/>
        <v>529775</v>
      </c>
      <c r="M73" s="7">
        <v>463631</v>
      </c>
      <c r="N73" s="7"/>
      <c r="O73" s="7">
        <f t="shared" si="9"/>
        <v>463631</v>
      </c>
      <c r="P73" s="7"/>
      <c r="Q73" s="7">
        <f t="shared" si="3"/>
        <v>761047</v>
      </c>
      <c r="R73" s="7">
        <v>761047</v>
      </c>
      <c r="S73" s="7">
        <f>5200+400</f>
        <v>5600</v>
      </c>
      <c r="T73" s="7">
        <f t="shared" si="4"/>
        <v>766647</v>
      </c>
      <c r="U73" s="7"/>
      <c r="V73" s="7">
        <f t="shared" si="5"/>
        <v>766647</v>
      </c>
      <c r="W73" s="7">
        <f>941+1120+8087+96+50</f>
        <v>10294</v>
      </c>
      <c r="X73" s="7">
        <f t="shared" si="6"/>
        <v>776941</v>
      </c>
    </row>
    <row r="74" spans="1:24" ht="31.5">
      <c r="A74" s="17" t="s">
        <v>118</v>
      </c>
      <c r="B74" s="6" t="s">
        <v>119</v>
      </c>
      <c r="C74" s="7">
        <v>2002385</v>
      </c>
      <c r="D74" s="7">
        <f>199949+11307</f>
        <v>211256</v>
      </c>
      <c r="E74" s="7">
        <f t="shared" si="7"/>
        <v>2213641</v>
      </c>
      <c r="F74" s="7">
        <v>1607</v>
      </c>
      <c r="G74" s="7">
        <f t="shared" si="7"/>
        <v>2215248</v>
      </c>
      <c r="H74" s="7">
        <f>2520469+17378</f>
        <v>2537847</v>
      </c>
      <c r="I74" s="7"/>
      <c r="J74" s="7">
        <v>2368201</v>
      </c>
      <c r="K74" s="7"/>
      <c r="L74" s="7">
        <f t="shared" si="8"/>
        <v>2368201</v>
      </c>
      <c r="M74" s="7">
        <v>2537847</v>
      </c>
      <c r="N74" s="7"/>
      <c r="O74" s="7">
        <f t="shared" si="9"/>
        <v>2537847</v>
      </c>
      <c r="P74" s="7"/>
      <c r="Q74" s="7">
        <f t="shared" si="3"/>
        <v>2215248</v>
      </c>
      <c r="R74" s="7">
        <v>2215248</v>
      </c>
      <c r="S74" s="7">
        <f>3147-8525</f>
        <v>-5378</v>
      </c>
      <c r="T74" s="7">
        <f t="shared" si="4"/>
        <v>2209870</v>
      </c>
      <c r="U74" s="7">
        <v>10446</v>
      </c>
      <c r="V74" s="7">
        <f t="shared" si="5"/>
        <v>2220316</v>
      </c>
      <c r="W74" s="7"/>
      <c r="X74" s="7">
        <f t="shared" si="6"/>
        <v>2220316</v>
      </c>
    </row>
    <row r="75" spans="1:24" s="8" customFormat="1" ht="15.75">
      <c r="A75" s="26" t="s">
        <v>124</v>
      </c>
      <c r="B75" s="26"/>
      <c r="C75" s="1">
        <v>38314902</v>
      </c>
      <c r="D75" s="1">
        <f>D10+D20+D22+D26+D36+D40+D42+D49+D53+D63+D69</f>
        <v>3728541</v>
      </c>
      <c r="E75" s="1">
        <f t="shared" si="7"/>
        <v>42043443</v>
      </c>
      <c r="F75" s="1">
        <f>F10+F20+F22+F26+F36+F40+F42+F49+F53+F63+F69</f>
        <v>-1937384</v>
      </c>
      <c r="G75" s="1">
        <f t="shared" si="7"/>
        <v>40106059</v>
      </c>
      <c r="H75" s="1">
        <f>H10+H20+H22+H26+H36+H40+H42+H49+H53+H63+H69</f>
        <v>37878672</v>
      </c>
      <c r="I75" s="1">
        <f>I10+I20+I22+I26+I36+I40+I42+I49+I53+I63+I69</f>
        <v>-1650770</v>
      </c>
      <c r="J75" s="1">
        <v>38760623</v>
      </c>
      <c r="K75" s="1">
        <f>K10+K20+K22+K26+K36+K40+K42+K49+K53+K63+K69</f>
        <v>0</v>
      </c>
      <c r="L75" s="1">
        <f t="shared" si="8"/>
        <v>38760623</v>
      </c>
      <c r="M75" s="1">
        <v>36227902</v>
      </c>
      <c r="N75" s="1">
        <f>N10+N20+N22+N26+N36+N40+N42+N49+N53+N63+N69</f>
        <v>0</v>
      </c>
      <c r="O75" s="1">
        <f t="shared" si="9"/>
        <v>36227902</v>
      </c>
      <c r="P75" s="1">
        <f>P10+P20+P22+P26+P36+P40+P42+P49+P53+P63+P69</f>
        <v>629608</v>
      </c>
      <c r="Q75" s="1">
        <f>Q10+Q20+Q22+Q26+Q36+Q40+Q42+Q49+Q53+Q63+Q69</f>
        <v>40735667</v>
      </c>
      <c r="R75" s="1">
        <v>40735667</v>
      </c>
      <c r="S75" s="1">
        <f>S10+S20+S22+S26+S36+S40+S42+S49+S53+S63+S69</f>
        <v>1543391</v>
      </c>
      <c r="T75" s="1">
        <f>R75+S75</f>
        <v>42279058</v>
      </c>
      <c r="U75" s="1">
        <f>U10+U20+U22+U26+U36+U40+U42+U49+U53+U63+U69</f>
        <v>470393</v>
      </c>
      <c r="V75" s="1">
        <f>T75+U75</f>
        <v>42749451</v>
      </c>
      <c r="W75" s="1">
        <f>W10+W20+W22+W26+W36+W40+W42+W49+W53+W63+W69</f>
        <v>35072</v>
      </c>
      <c r="X75" s="1">
        <f>V75+W75</f>
        <v>42784523</v>
      </c>
    </row>
    <row r="76" spans="1:24" s="8" customFormat="1" ht="15.75" hidden="1">
      <c r="A76" s="27" t="s">
        <v>132</v>
      </c>
      <c r="B76" s="28"/>
      <c r="C76" s="1"/>
      <c r="D76" s="1"/>
      <c r="E76" s="1"/>
      <c r="F76" s="1"/>
      <c r="G76" s="1"/>
      <c r="H76" s="1">
        <v>2042950</v>
      </c>
      <c r="I76" s="1">
        <v>1650770</v>
      </c>
      <c r="J76" s="1">
        <v>2463450</v>
      </c>
      <c r="K76" s="1"/>
      <c r="L76" s="1">
        <f t="shared" si="8"/>
        <v>2463450</v>
      </c>
      <c r="M76" s="1">
        <v>3693720</v>
      </c>
      <c r="N76" s="1"/>
      <c r="O76" s="1">
        <f t="shared" si="9"/>
        <v>3693720</v>
      </c>
      <c r="P76" s="1"/>
      <c r="Q76" s="1">
        <f>G76+P76</f>
        <v>0</v>
      </c>
      <c r="R76" s="1">
        <v>0</v>
      </c>
      <c r="S76" s="1"/>
      <c r="T76" s="1">
        <f>R76+S76</f>
        <v>0</v>
      </c>
      <c r="U76" s="1"/>
      <c r="V76" s="1">
        <f>T76+U76</f>
        <v>0</v>
      </c>
      <c r="W76" s="1"/>
      <c r="X76" s="1">
        <f>V76+W76</f>
        <v>0</v>
      </c>
    </row>
    <row r="77" spans="1:24" s="8" customFormat="1" ht="33.75" customHeight="1">
      <c r="A77" s="27" t="s">
        <v>125</v>
      </c>
      <c r="B77" s="28"/>
      <c r="C77" s="1">
        <v>825203</v>
      </c>
      <c r="D77" s="1">
        <f>62619+28937+96+254</f>
        <v>91906</v>
      </c>
      <c r="E77" s="1">
        <f t="shared" si="7"/>
        <v>917109</v>
      </c>
      <c r="F77" s="1">
        <f>1400+6806</f>
        <v>8206</v>
      </c>
      <c r="G77" s="1">
        <f t="shared" si="7"/>
        <v>925315</v>
      </c>
      <c r="H77" s="1">
        <f>3735+116737+797068+9880</f>
        <v>927420</v>
      </c>
      <c r="I77" s="1"/>
      <c r="J77" s="1">
        <v>876720</v>
      </c>
      <c r="K77" s="1"/>
      <c r="L77" s="1">
        <f t="shared" si="8"/>
        <v>876720</v>
      </c>
      <c r="M77" s="1">
        <v>927420</v>
      </c>
      <c r="N77" s="1"/>
      <c r="O77" s="1">
        <f t="shared" si="9"/>
        <v>927420</v>
      </c>
      <c r="P77" s="1"/>
      <c r="Q77" s="1">
        <f>G77+P77</f>
        <v>925315</v>
      </c>
      <c r="R77" s="1">
        <v>925315</v>
      </c>
      <c r="S77" s="1">
        <f>8529+6623-2858</f>
        <v>12294</v>
      </c>
      <c r="T77" s="1">
        <f>R77+S77</f>
        <v>937609</v>
      </c>
      <c r="U77" s="1"/>
      <c r="V77" s="1">
        <f>T77+U77</f>
        <v>937609</v>
      </c>
      <c r="W77" s="1">
        <f>15000-9790</f>
        <v>5210</v>
      </c>
      <c r="X77" s="1">
        <f>V77+W77</f>
        <v>942819</v>
      </c>
    </row>
    <row r="78" spans="1:24" s="8" customFormat="1" ht="15.75">
      <c r="A78" s="26" t="s">
        <v>39</v>
      </c>
      <c r="B78" s="26"/>
      <c r="C78" s="1">
        <f>38755530+384575</f>
        <v>39140105</v>
      </c>
      <c r="D78" s="1">
        <f>D77+D75+D76</f>
        <v>3820447</v>
      </c>
      <c r="E78" s="1">
        <f t="shared" si="7"/>
        <v>42960552</v>
      </c>
      <c r="F78" s="1">
        <f>F77+F75+F76</f>
        <v>-1929178</v>
      </c>
      <c r="G78" s="1">
        <f>E78+F78</f>
        <v>41031374</v>
      </c>
      <c r="H78" s="1">
        <f>H77+H75+H76</f>
        <v>40849042</v>
      </c>
      <c r="I78" s="1">
        <f>I77+I75+I76</f>
        <v>0</v>
      </c>
      <c r="J78" s="1">
        <v>42100793</v>
      </c>
      <c r="K78" s="1">
        <f>K77+K75+K76</f>
        <v>0</v>
      </c>
      <c r="L78" s="1">
        <f t="shared" si="8"/>
        <v>42100793</v>
      </c>
      <c r="M78" s="1">
        <v>40849042</v>
      </c>
      <c r="N78" s="1">
        <f>N77+N75+N76</f>
        <v>0</v>
      </c>
      <c r="O78" s="1">
        <f t="shared" si="9"/>
        <v>40849042</v>
      </c>
      <c r="P78" s="1">
        <f>P77+P75+P76</f>
        <v>629608</v>
      </c>
      <c r="Q78" s="1">
        <f>Q77+Q75+Q76</f>
        <v>41660982</v>
      </c>
      <c r="R78" s="1">
        <v>41660982</v>
      </c>
      <c r="S78" s="1">
        <f>S77+S75+S76</f>
        <v>1555685</v>
      </c>
      <c r="T78" s="1">
        <f>R78+S78</f>
        <v>43216667</v>
      </c>
      <c r="U78" s="1">
        <f>U77+U75+U76</f>
        <v>470393</v>
      </c>
      <c r="V78" s="1">
        <f>T78+U78</f>
        <v>43687060</v>
      </c>
      <c r="W78" s="1">
        <f>W77+W75+W76</f>
        <v>40282</v>
      </c>
      <c r="X78" s="1">
        <f>V78+W78</f>
        <v>43727342</v>
      </c>
    </row>
    <row r="79" spans="1:24" s="8" customFormat="1" ht="15.75">
      <c r="A79" s="24" t="s">
        <v>40</v>
      </c>
      <c r="B79" s="25"/>
      <c r="C79" s="1"/>
      <c r="D79" s="1">
        <f>'[2]Лист1'!$D$125-D78</f>
        <v>-1197460</v>
      </c>
      <c r="E79" s="1">
        <f>'[3]Лист1'!$E$127-E78</f>
        <v>-2052138</v>
      </c>
      <c r="F79" s="1">
        <f>'[3]Лист1'!$F$127-F78</f>
        <v>-1512700</v>
      </c>
      <c r="G79" s="1">
        <f>'[3]Лист1'!$G$129-G78</f>
        <v>-2701954</v>
      </c>
      <c r="H79" s="1">
        <f>'[1]Лист1'!$E$106-H78</f>
        <v>-2153512</v>
      </c>
      <c r="I79" s="1"/>
      <c r="J79" s="1">
        <v>178682</v>
      </c>
      <c r="K79" s="1"/>
      <c r="L79" s="1">
        <f t="shared" si="8"/>
        <v>178682</v>
      </c>
      <c r="M79" s="1">
        <v>38387</v>
      </c>
      <c r="N79" s="1"/>
      <c r="O79" s="1">
        <f t="shared" si="9"/>
        <v>38387</v>
      </c>
      <c r="P79" s="1">
        <f>'[3]Лист1'!$N$129-P78</f>
        <v>-54694</v>
      </c>
      <c r="Q79" s="1">
        <f>'[3]Лист1'!$O$129-Q78</f>
        <v>-2756648</v>
      </c>
      <c r="R79" s="1">
        <v>-2756648</v>
      </c>
      <c r="S79" s="1">
        <f>'[4]Лист1'!$Q$142-S78</f>
        <v>-120458</v>
      </c>
      <c r="T79" s="1">
        <f>'[4]Лист1'!$R$142-T78</f>
        <v>-2877106</v>
      </c>
      <c r="U79" s="1"/>
      <c r="V79" s="1">
        <f>'[6]Лист1'!$T$145-V78</f>
        <v>-1522263</v>
      </c>
      <c r="W79" s="1">
        <f>'[1]Лист1'!$U$146-W78</f>
        <v>98630</v>
      </c>
      <c r="X79" s="1">
        <f>V79+W79</f>
        <v>-1423633</v>
      </c>
    </row>
    <row r="80" spans="3:24" ht="15.75">
      <c r="C80" s="19"/>
      <c r="D80" s="19"/>
      <c r="E80" s="19"/>
      <c r="F80" s="19"/>
      <c r="G80" s="19"/>
      <c r="K80" s="19"/>
      <c r="L80" s="19"/>
      <c r="P80" s="19"/>
      <c r="Q80" s="19"/>
      <c r="R80" s="19"/>
      <c r="S80" s="19"/>
      <c r="T80" s="19"/>
      <c r="U80" s="19"/>
      <c r="V80" s="19"/>
      <c r="W80" s="19"/>
      <c r="X80" s="19"/>
    </row>
    <row r="81" spans="3:24" ht="15.75" hidden="1">
      <c r="C81" s="4" t="s">
        <v>141</v>
      </c>
      <c r="D81" s="4">
        <v>150868</v>
      </c>
      <c r="E81" s="8" t="s">
        <v>83</v>
      </c>
      <c r="F81" s="8">
        <f>-10615</f>
        <v>-10615</v>
      </c>
      <c r="G81" s="8" t="s">
        <v>83</v>
      </c>
      <c r="H81" s="8"/>
      <c r="I81" s="8"/>
      <c r="J81" s="8"/>
      <c r="K81" s="8"/>
      <c r="L81" s="8"/>
      <c r="M81" s="8"/>
      <c r="N81" s="8"/>
      <c r="O81" s="8"/>
      <c r="P81" s="8"/>
      <c r="Q81" s="20"/>
      <c r="R81" s="21" t="s">
        <v>153</v>
      </c>
      <c r="S81" s="21"/>
      <c r="T81" s="20">
        <f>SUM(T78-'[5]Лист1'!$W$2082)</f>
        <v>0</v>
      </c>
      <c r="U81" s="20">
        <f>SUM(U78-'[5]Лист1'!$X$2082)</f>
        <v>0</v>
      </c>
      <c r="V81" s="20">
        <f>SUM(V78-'[5]Лист1'!$Y$2082)</f>
        <v>0</v>
      </c>
      <c r="W81" s="20"/>
      <c r="X81" s="20"/>
    </row>
    <row r="82" spans="3:21" ht="15.75" hidden="1">
      <c r="C82" s="4" t="s">
        <v>83</v>
      </c>
      <c r="D82" s="4">
        <v>71681</v>
      </c>
      <c r="E82" s="4" t="s">
        <v>144</v>
      </c>
      <c r="F82" s="4">
        <v>-298712</v>
      </c>
      <c r="G82" s="4" t="s">
        <v>144</v>
      </c>
      <c r="R82" s="21" t="s">
        <v>129</v>
      </c>
      <c r="S82" s="21"/>
      <c r="T82" s="4" t="s">
        <v>157</v>
      </c>
      <c r="U82" s="4">
        <v>-500</v>
      </c>
    </row>
    <row r="83" spans="3:24" ht="15.75" hidden="1">
      <c r="C83" s="3" t="s">
        <v>82</v>
      </c>
      <c r="D83" s="3">
        <v>19093</v>
      </c>
      <c r="E83" s="3" t="s">
        <v>142</v>
      </c>
      <c r="F83" s="3">
        <f>-141728+180</f>
        <v>-141548</v>
      </c>
      <c r="G83" s="3" t="s">
        <v>142</v>
      </c>
      <c r="H83" s="3"/>
      <c r="I83" s="3"/>
      <c r="J83" s="3"/>
      <c r="K83" s="3"/>
      <c r="L83" s="3"/>
      <c r="M83" s="3"/>
      <c r="N83" s="3"/>
      <c r="O83" s="3"/>
      <c r="P83" s="3">
        <f>42562+353974</f>
        <v>396536</v>
      </c>
      <c r="Q83" s="3"/>
      <c r="R83" s="21" t="s">
        <v>83</v>
      </c>
      <c r="S83" s="21"/>
      <c r="T83" s="3" t="s">
        <v>153</v>
      </c>
      <c r="U83" s="3">
        <v>50000</v>
      </c>
      <c r="V83" s="3" t="s">
        <v>161</v>
      </c>
      <c r="W83" s="3">
        <v>-1500</v>
      </c>
      <c r="X83" s="3"/>
    </row>
    <row r="84" spans="3:23" ht="15.75" hidden="1">
      <c r="C84" s="4" t="s">
        <v>142</v>
      </c>
      <c r="D84" s="4">
        <v>229133</v>
      </c>
      <c r="E84" s="4" t="s">
        <v>147</v>
      </c>
      <c r="F84" s="4">
        <f>-94975+1400</f>
        <v>-93575</v>
      </c>
      <c r="G84" s="4" t="s">
        <v>147</v>
      </c>
      <c r="P84" s="4">
        <v>-7800</v>
      </c>
      <c r="R84" s="21" t="s">
        <v>143</v>
      </c>
      <c r="S84" s="21"/>
      <c r="T84" s="4" t="s">
        <v>83</v>
      </c>
      <c r="U84" s="4">
        <v>44859</v>
      </c>
      <c r="V84" s="4" t="s">
        <v>162</v>
      </c>
      <c r="W84" s="4">
        <v>-1320</v>
      </c>
    </row>
    <row r="85" spans="3:23" ht="15.75" hidden="1">
      <c r="C85" s="4" t="s">
        <v>87</v>
      </c>
      <c r="D85" s="4">
        <v>0</v>
      </c>
      <c r="E85" s="4" t="s">
        <v>85</v>
      </c>
      <c r="F85" s="4">
        <v>210341</v>
      </c>
      <c r="G85" s="4" t="s">
        <v>85</v>
      </c>
      <c r="P85" s="4">
        <v>-2000</v>
      </c>
      <c r="R85" s="21" t="s">
        <v>154</v>
      </c>
      <c r="S85" s="21"/>
      <c r="T85" s="4" t="s">
        <v>158</v>
      </c>
      <c r="U85" s="4">
        <v>310301</v>
      </c>
      <c r="V85" s="4" t="s">
        <v>83</v>
      </c>
      <c r="W85" s="4">
        <v>89120</v>
      </c>
    </row>
    <row r="86" spans="3:23" ht="15.75" hidden="1">
      <c r="C86" s="4" t="s">
        <v>143</v>
      </c>
      <c r="D86" s="4">
        <v>813750</v>
      </c>
      <c r="E86" s="4" t="s">
        <v>148</v>
      </c>
      <c r="F86" s="4">
        <v>100000</v>
      </c>
      <c r="G86" s="4" t="s">
        <v>148</v>
      </c>
      <c r="P86" s="4">
        <f>68035-68035</f>
        <v>0</v>
      </c>
      <c r="R86" s="21" t="s">
        <v>144</v>
      </c>
      <c r="S86" s="21"/>
      <c r="T86" s="4" t="s">
        <v>155</v>
      </c>
      <c r="U86" s="4">
        <v>-10628</v>
      </c>
      <c r="V86" s="4" t="s">
        <v>143</v>
      </c>
      <c r="W86" s="4">
        <v>36382</v>
      </c>
    </row>
    <row r="87" spans="3:23" ht="15.75" hidden="1">
      <c r="C87" s="4" t="s">
        <v>144</v>
      </c>
      <c r="D87" s="4">
        <v>1604643</v>
      </c>
      <c r="E87" s="4" t="s">
        <v>143</v>
      </c>
      <c r="F87" s="4">
        <v>-360556</v>
      </c>
      <c r="G87" s="4" t="s">
        <v>143</v>
      </c>
      <c r="P87" s="4">
        <v>243461</v>
      </c>
      <c r="R87" s="21" t="s">
        <v>155</v>
      </c>
      <c r="S87" s="21"/>
      <c r="T87" s="4" t="s">
        <v>159</v>
      </c>
      <c r="U87" s="4">
        <v>-104459</v>
      </c>
      <c r="V87" s="4" t="s">
        <v>144</v>
      </c>
      <c r="W87" s="4">
        <f>-42435+27939</f>
        <v>-14496</v>
      </c>
    </row>
    <row r="88" spans="3:23" ht="15.75" hidden="1">
      <c r="C88" s="4" t="s">
        <v>86</v>
      </c>
      <c r="D88" s="4">
        <f>SUM(D81:D87)</f>
        <v>2889168</v>
      </c>
      <c r="E88" s="4" t="s">
        <v>86</v>
      </c>
      <c r="F88" s="4">
        <f>SUM(F81:F87)</f>
        <v>-594665</v>
      </c>
      <c r="G88" s="4" t="s">
        <v>86</v>
      </c>
      <c r="P88" s="4">
        <f>SUM(P81:P87)</f>
        <v>630197</v>
      </c>
      <c r="R88" s="21" t="s">
        <v>84</v>
      </c>
      <c r="S88" s="21"/>
      <c r="T88" s="4" t="s">
        <v>160</v>
      </c>
      <c r="U88" s="4">
        <v>180820</v>
      </c>
      <c r="V88" s="4" t="s">
        <v>154</v>
      </c>
      <c r="W88" s="4">
        <v>-4952</v>
      </c>
    </row>
    <row r="89" spans="6:23" ht="15.75" hidden="1">
      <c r="F89" s="3">
        <f>F78-F88</f>
        <v>-1334513</v>
      </c>
      <c r="P89" s="3">
        <f>P78-P88</f>
        <v>-589</v>
      </c>
      <c r="R89" s="21" t="s">
        <v>82</v>
      </c>
      <c r="S89" s="21"/>
      <c r="V89" s="4" t="s">
        <v>155</v>
      </c>
      <c r="W89" s="4">
        <v>-70037</v>
      </c>
    </row>
    <row r="90" spans="18:23" ht="17.25" customHeight="1" hidden="1">
      <c r="R90" s="21"/>
      <c r="S90" s="21"/>
      <c r="W90" s="3">
        <f>SUM(W83:W89)</f>
        <v>33197</v>
      </c>
    </row>
    <row r="91" spans="16:19" ht="18" customHeight="1">
      <c r="P91" s="3"/>
      <c r="R91" s="21"/>
      <c r="S91" s="21"/>
    </row>
    <row r="92" spans="18:19" ht="15.75">
      <c r="R92" s="21"/>
      <c r="S92" s="21"/>
    </row>
    <row r="93" spans="18:19" ht="15.75">
      <c r="R93" s="21" t="s">
        <v>81</v>
      </c>
      <c r="S93" s="21"/>
    </row>
    <row r="94" spans="18:19" ht="15.75">
      <c r="R94" s="21"/>
      <c r="S94" s="21"/>
    </row>
    <row r="95" spans="18:19" ht="15.75">
      <c r="R95" s="21"/>
      <c r="S95" s="21"/>
    </row>
    <row r="96" spans="18:19" ht="15.75">
      <c r="R96" s="21"/>
      <c r="S96" s="21"/>
    </row>
    <row r="97" spans="18:19" ht="15.75">
      <c r="R97" s="21"/>
      <c r="S97" s="21"/>
    </row>
    <row r="98" spans="18:19" ht="15.75">
      <c r="R98" s="21"/>
      <c r="S98" s="21"/>
    </row>
    <row r="99" spans="18:19" ht="15.75">
      <c r="R99" s="21"/>
      <c r="S99" s="21"/>
    </row>
    <row r="100" spans="18:19" ht="15.75">
      <c r="R100" s="21"/>
      <c r="S100" s="21"/>
    </row>
    <row r="101" spans="18:19" ht="15.75">
      <c r="R101" s="21"/>
      <c r="S101" s="21"/>
    </row>
    <row r="102" spans="18:19" ht="15.75">
      <c r="R102" s="21"/>
      <c r="S102" s="21"/>
    </row>
    <row r="103" spans="18:19" ht="15.75">
      <c r="R103" s="21"/>
      <c r="S103" s="21"/>
    </row>
    <row r="104" spans="18:19" ht="15.75">
      <c r="R104" s="21"/>
      <c r="S104" s="21"/>
    </row>
    <row r="105" spans="18:19" ht="15.75">
      <c r="R105" s="21"/>
      <c r="S105" s="21"/>
    </row>
    <row r="106" spans="18:19" ht="15.75">
      <c r="R106" s="21"/>
      <c r="S106" s="21"/>
    </row>
    <row r="107" spans="18:19" ht="15.75">
      <c r="R107" s="21"/>
      <c r="S107" s="21"/>
    </row>
  </sheetData>
  <sheetProtection/>
  <mergeCells count="10">
    <mergeCell ref="A1:X1"/>
    <mergeCell ref="A2:X2"/>
    <mergeCell ref="A3:X3"/>
    <mergeCell ref="A79:B79"/>
    <mergeCell ref="A75:B75"/>
    <mergeCell ref="A4:B4"/>
    <mergeCell ref="A78:B78"/>
    <mergeCell ref="A77:B77"/>
    <mergeCell ref="A76:B76"/>
    <mergeCell ref="A7:X7"/>
  </mergeCells>
  <printOptions horizontalCentered="1"/>
  <pageMargins left="0.7874015748031497" right="0" top="0.984251968503937" bottom="0.7874015748031497" header="0.5118110236220472" footer="0.31496062992125984"/>
  <pageSetup fitToHeight="0" fitToWidth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 </cp:lastModifiedBy>
  <cp:lastPrinted>2009-12-24T06:19:37Z</cp:lastPrinted>
  <dcterms:created xsi:type="dcterms:W3CDTF">2004-11-13T08:03:22Z</dcterms:created>
  <dcterms:modified xsi:type="dcterms:W3CDTF">2009-12-25T11:48:15Z</dcterms:modified>
  <cp:category/>
  <cp:version/>
  <cp:contentType/>
  <cp:contentStatus/>
</cp:coreProperties>
</file>