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'Лист1'!$8:$8</definedName>
    <definedName name="_xlnm.Print_Area" localSheetId="0">'Лист1'!$A$1:$K$124</definedName>
  </definedNames>
  <calcPr fullCalcOnLoad="1"/>
</workbook>
</file>

<file path=xl/sharedStrings.xml><?xml version="1.0" encoding="utf-8"?>
<sst xmlns="http://schemas.openxmlformats.org/spreadsheetml/2006/main" count="183" uniqueCount="171">
  <si>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</si>
  <si>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</si>
  <si>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</si>
  <si>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</si>
  <si>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</si>
  <si>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</si>
  <si>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</si>
  <si>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</si>
  <si>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</si>
  <si>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</si>
  <si>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</si>
  <si>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</si>
  <si>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</si>
  <si>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</si>
  <si>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</si>
  <si>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</si>
  <si>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</si>
  <si>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</si>
  <si>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</si>
  <si>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</si>
  <si>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</si>
  <si>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</si>
  <si>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</si>
  <si>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</si>
  <si>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</si>
  <si>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</si>
  <si>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</si>
  <si>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</si>
  <si>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</si>
  <si>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</si>
  <si>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</si>
  <si>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</si>
  <si>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</si>
  <si>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</si>
  <si>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</si>
  <si>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</si>
  <si>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</si>
  <si>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</si>
  <si>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</si>
  <si>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</si>
  <si>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</si>
  <si>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</si>
  <si>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</si>
  <si>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</si>
  <si>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</si>
  <si>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</si>
  <si>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</si>
  <si>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</si>
  <si>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</si>
  <si>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0200</t>
  </si>
  <si>
    <t>0300</t>
  </si>
  <si>
    <t>0302</t>
  </si>
  <si>
    <t>0309</t>
  </si>
  <si>
    <t>0310</t>
  </si>
  <si>
    <t>0400</t>
  </si>
  <si>
    <t>0401</t>
  </si>
  <si>
    <t>0402</t>
  </si>
  <si>
    <t>0404</t>
  </si>
  <si>
    <t>0405</t>
  </si>
  <si>
    <t>0408</t>
  </si>
  <si>
    <t>0409</t>
  </si>
  <si>
    <t>0500</t>
  </si>
  <si>
    <t>0600</t>
  </si>
  <si>
    <t>0700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</si>
  <si>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</si>
  <si>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</si>
  <si>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</si>
  <si>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</si>
  <si>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</si>
  <si>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</si>
  <si>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</si>
  <si>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</si>
  <si>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</si>
  <si>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</si>
  <si>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</si>
  <si>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</si>
  <si>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</si>
  <si>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</si>
  <si>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</si>
  <si>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0407</t>
  </si>
  <si>
    <t>0502</t>
  </si>
  <si>
    <t>Волкова</t>
  </si>
  <si>
    <t>итого</t>
  </si>
  <si>
    <t>Кокорин</t>
  </si>
  <si>
    <t>Запруднова</t>
  </si>
  <si>
    <t>Н/Х</t>
  </si>
  <si>
    <t>АПК</t>
  </si>
  <si>
    <t>Канцырев</t>
  </si>
  <si>
    <t>бюджетный</t>
  </si>
  <si>
    <t>госдолг</t>
  </si>
  <si>
    <t>Межбюджет</t>
  </si>
  <si>
    <t>Власть</t>
  </si>
  <si>
    <t>Соцсфера</t>
  </si>
  <si>
    <t>Местное</t>
  </si>
  <si>
    <t>Итого</t>
  </si>
  <si>
    <t>Гредасова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</si>
  <si>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</si>
  <si>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</si>
  <si>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</si>
  <si>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</si>
  <si>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</si>
  <si>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Обеспечение пожарной безопасности</t>
  </si>
  <si>
    <t>0412</t>
  </si>
  <si>
    <t>0501</t>
  </si>
  <si>
    <t>0505</t>
  </si>
  <si>
    <t>0605</t>
  </si>
  <si>
    <t>Профессиональная подготовка, переподготовка и повышение квалификации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</si>
  <si>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</si>
  <si>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</si>
  <si>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</si>
  <si>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</si>
  <si>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</si>
  <si>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</si>
  <si>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</si>
  <si>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</si>
  <si>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</si>
  <si>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</si>
  <si>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</si>
  <si>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</si>
  <si>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</si>
  <si>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</si>
  <si>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</si>
  <si>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</si>
  <si>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</si>
  <si>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</si>
  <si>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</si>
  <si>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</si>
  <si>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</si>
  <si>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0111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</si>
  <si>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</si>
  <si>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</si>
  <si>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</si>
  <si>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</si>
  <si>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</si>
  <si>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</si>
  <si>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</si>
  <si>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</si>
  <si>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(финансового - бюджетного) надзора</t>
  </si>
  <si>
    <r>
      <t xml:space="preserve">Дорожное </t>
    </r>
    <r>
      <rPr>
        <sz val="12"/>
        <rFont val="Times New Roman"/>
        <family val="1"/>
      </rPr>
      <t>хозяйство</t>
    </r>
  </si>
  <si>
    <t>кокорин</t>
  </si>
  <si>
    <t>Заготовка, переработка, хранение и обеспечение безопасности донорской крови и ее компонентов</t>
  </si>
  <si>
    <t>Защита населения  и территории от чрезвычайных ситуаций природного и техногенного характера, гражданская оборона</t>
  </si>
  <si>
    <t>запруднова</t>
  </si>
  <si>
    <t>гос.долг</t>
  </si>
  <si>
    <t>корнев</t>
  </si>
  <si>
    <t>УСЛОВНЫЕ</t>
  </si>
  <si>
    <t>Условно утвержденные расходы</t>
  </si>
  <si>
    <t>деренговская</t>
  </si>
  <si>
    <t xml:space="preserve">степанова </t>
  </si>
  <si>
    <t xml:space="preserve">итого </t>
  </si>
  <si>
    <t>образование</t>
  </si>
  <si>
    <t>скребкова</t>
  </si>
  <si>
    <t>хайбулина</t>
  </si>
  <si>
    <t>баулина</t>
  </si>
  <si>
    <t xml:space="preserve">2009 год           (тыс. руб.)            </t>
  </si>
  <si>
    <t xml:space="preserve">2010 год             (тыс. руб.)           </t>
  </si>
  <si>
    <t xml:space="preserve">2011 год             (тыс. руб.)      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</si>
  <si>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</si>
  <si>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поправки</t>
  </si>
  <si>
    <t>Приложение 2</t>
  </si>
  <si>
    <t>к Закону Ярославской области</t>
  </si>
  <si>
    <t>Топливно-энергетический комплекс</t>
  </si>
  <si>
    <t>уточнение</t>
  </si>
  <si>
    <t xml:space="preserve">Соцсфера </t>
  </si>
  <si>
    <t>Дорожники</t>
  </si>
  <si>
    <t xml:space="preserve">Власть </t>
  </si>
  <si>
    <t>Гаврилова</t>
  </si>
  <si>
    <t>Баулина</t>
  </si>
  <si>
    <t>Расходы областного бюджета на 2009 год и на плановый период 2010 и 2011 годов по разделам                                            и подразделам классификации расходов бюджетов Российской Федерации</t>
  </si>
  <si>
    <t>Водное хозяйство</t>
  </si>
  <si>
    <t>от 02.04.2009 № 10-з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</si>
</sst>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stigneeva\Local%20Settings\Temporary%20Internet%20Files\OLK4\&#1055;&#1088;&#1080;&#1083;&#1086;&#1078;&#1077;&#1085;&#1080;&#1077;%201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1\LOCALS~1\Temp\&#1087;&#1088;&#1080;&#1083;&#1086;&#1078;&#1077;&#1085;&#1080;&#1077;%201%20&#1076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38695530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5">
          <cell r="D125">
            <v>2622987</v>
          </cell>
          <cell r="E125">
            <v>41763092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14.25390625" style="11" customWidth="1"/>
    <col min="2" max="2" width="62.125" style="3" customWidth="1"/>
    <col min="3" max="3" width="12.375" style="1" hidden="1" customWidth="1"/>
    <col min="4" max="4" width="10.875" style="1" hidden="1" customWidth="1"/>
    <col min="5" max="5" width="16.00390625" style="1" customWidth="1"/>
    <col min="6" max="6" width="15.00390625" style="1" hidden="1" customWidth="1"/>
    <col min="7" max="7" width="2.625" style="1" hidden="1" customWidth="1"/>
    <col min="8" max="8" width="14.375" style="1" customWidth="1"/>
    <col min="9" max="9" width="11.00390625" style="1" hidden="1" customWidth="1"/>
    <col min="10" max="10" width="11.75390625" style="1" hidden="1" customWidth="1"/>
    <col min="11" max="11" width="14.75390625" style="1" customWidth="1"/>
    <col min="12" max="13" width="13.125" style="1" hidden="1" customWidth="1"/>
    <col min="14" max="16384" width="11.875" style="1" customWidth="1"/>
  </cols>
  <sheetData>
    <row r="1" spans="1:11" s="3" customFormat="1" ht="18.75" customHeight="1">
      <c r="A1" s="35" t="s">
        <v>159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17.25" customHeight="1">
      <c r="A2" s="35" t="s">
        <v>160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8.75" customHeight="1">
      <c r="A3" s="35" t="s">
        <v>170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" s="3" customFormat="1" ht="18.75" customHeight="1">
      <c r="A4" s="35"/>
      <c r="B4" s="35"/>
    </row>
    <row r="5" spans="1:10" s="3" customFormat="1" ht="15.75" hidden="1">
      <c r="A5" s="7"/>
      <c r="B5" s="2"/>
      <c r="C5" s="2"/>
      <c r="D5" s="2"/>
      <c r="E5" s="2"/>
      <c r="I5" s="2"/>
      <c r="J5" s="2"/>
    </row>
    <row r="6" spans="1:13" s="3" customFormat="1" ht="53.25" customHeight="1">
      <c r="A6" s="41" t="s">
        <v>168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="3" customFormat="1" ht="15.75">
      <c r="A7" s="8"/>
    </row>
    <row r="8" spans="1:13" s="4" customFormat="1" ht="44.25" customHeight="1">
      <c r="A8" s="29" t="s">
        <v>0</v>
      </c>
      <c r="B8" s="30" t="s">
        <v>38</v>
      </c>
      <c r="C8" s="12" t="s">
        <v>154</v>
      </c>
      <c r="D8" s="12" t="s">
        <v>162</v>
      </c>
      <c r="E8" s="12" t="s">
        <v>154</v>
      </c>
      <c r="F8" s="12" t="s">
        <v>156</v>
      </c>
      <c r="G8" s="12" t="s">
        <v>158</v>
      </c>
      <c r="H8" s="12" t="s">
        <v>155</v>
      </c>
      <c r="I8" s="12" t="s">
        <v>162</v>
      </c>
      <c r="J8" s="12" t="s">
        <v>155</v>
      </c>
      <c r="K8" s="12" t="s">
        <v>156</v>
      </c>
      <c r="L8" s="12" t="s">
        <v>162</v>
      </c>
      <c r="M8" s="12" t="s">
        <v>156</v>
      </c>
    </row>
    <row r="9" spans="1:13" s="16" customFormat="1" ht="15.75">
      <c r="A9" s="9" t="s">
        <v>41</v>
      </c>
      <c r="B9" s="33" t="s">
        <v>1</v>
      </c>
      <c r="C9" s="14">
        <v>2312916</v>
      </c>
      <c r="D9" s="14">
        <f>SUM(D10:D18)</f>
        <v>7951</v>
      </c>
      <c r="E9" s="14">
        <f>C9+D9</f>
        <v>2320867</v>
      </c>
      <c r="F9" s="14">
        <f>SUM(F10:F18)</f>
        <v>3134867</v>
      </c>
      <c r="G9" s="14">
        <f>SUM(G10:G18)</f>
        <v>0</v>
      </c>
      <c r="H9" s="14">
        <v>2949498</v>
      </c>
      <c r="I9" s="14">
        <f>SUM(I10:I18)</f>
        <v>0</v>
      </c>
      <c r="J9" s="14">
        <f>H9+I9</f>
        <v>2949498</v>
      </c>
      <c r="K9" s="14">
        <v>3134867</v>
      </c>
      <c r="L9" s="14">
        <f>SUM(L10:L18)</f>
        <v>0</v>
      </c>
      <c r="M9" s="14">
        <f>K9+L9</f>
        <v>3134867</v>
      </c>
    </row>
    <row r="10" spans="1:13" ht="33" customHeight="1">
      <c r="A10" s="10" t="s">
        <v>42</v>
      </c>
      <c r="B10" s="31" t="s">
        <v>97</v>
      </c>
      <c r="C10" s="15">
        <v>2151</v>
      </c>
      <c r="D10" s="15"/>
      <c r="E10" s="15">
        <f aca="true" t="shared" si="0" ref="E10:E41">C10+D10</f>
        <v>2151</v>
      </c>
      <c r="F10" s="15">
        <v>2844</v>
      </c>
      <c r="G10" s="15"/>
      <c r="H10" s="15">
        <v>2653</v>
      </c>
      <c r="I10" s="15"/>
      <c r="J10" s="15">
        <f aca="true" t="shared" si="1" ref="J10:J41">H10+I10</f>
        <v>2653</v>
      </c>
      <c r="K10" s="15">
        <v>2844</v>
      </c>
      <c r="L10" s="15"/>
      <c r="M10" s="15">
        <f aca="true" t="shared" si="2" ref="M10:M41">K10+L10</f>
        <v>2844</v>
      </c>
    </row>
    <row r="11" spans="1:13" ht="48" customHeight="1">
      <c r="A11" s="10" t="s">
        <v>43</v>
      </c>
      <c r="B11" s="31" t="s">
        <v>157</v>
      </c>
      <c r="C11" s="15">
        <v>102410</v>
      </c>
      <c r="D11" s="15"/>
      <c r="E11" s="15">
        <f t="shared" si="0"/>
        <v>102410</v>
      </c>
      <c r="F11" s="15">
        <v>125544</v>
      </c>
      <c r="G11" s="15"/>
      <c r="H11" s="15">
        <v>117112</v>
      </c>
      <c r="I11" s="15"/>
      <c r="J11" s="15">
        <f t="shared" si="1"/>
        <v>117112</v>
      </c>
      <c r="K11" s="15">
        <v>125544</v>
      </c>
      <c r="L11" s="15"/>
      <c r="M11" s="15">
        <f t="shared" si="2"/>
        <v>125544</v>
      </c>
    </row>
    <row r="12" spans="1:13" ht="47.25">
      <c r="A12" s="10" t="s">
        <v>44</v>
      </c>
      <c r="B12" s="31" t="s">
        <v>98</v>
      </c>
      <c r="C12" s="15">
        <v>341168</v>
      </c>
      <c r="D12" s="15">
        <v>-5600</v>
      </c>
      <c r="E12" s="15">
        <f t="shared" si="0"/>
        <v>335568</v>
      </c>
      <c r="F12" s="15">
        <v>480614</v>
      </c>
      <c r="G12" s="15"/>
      <c r="H12" s="15">
        <v>448441</v>
      </c>
      <c r="I12" s="15"/>
      <c r="J12" s="15">
        <f t="shared" si="1"/>
        <v>448441</v>
      </c>
      <c r="K12" s="15">
        <v>480614</v>
      </c>
      <c r="L12" s="15"/>
      <c r="M12" s="15">
        <f t="shared" si="2"/>
        <v>480614</v>
      </c>
    </row>
    <row r="13" spans="1:13" ht="15.75">
      <c r="A13" s="10" t="s">
        <v>45</v>
      </c>
      <c r="B13" s="31" t="s">
        <v>2</v>
      </c>
      <c r="C13" s="15">
        <v>61750</v>
      </c>
      <c r="D13" s="15"/>
      <c r="E13" s="15">
        <f t="shared" si="0"/>
        <v>61750</v>
      </c>
      <c r="F13" s="15">
        <v>78530</v>
      </c>
      <c r="G13" s="15"/>
      <c r="H13" s="15">
        <v>73256</v>
      </c>
      <c r="I13" s="15"/>
      <c r="J13" s="15">
        <f t="shared" si="1"/>
        <v>73256</v>
      </c>
      <c r="K13" s="15">
        <v>78530</v>
      </c>
      <c r="L13" s="15"/>
      <c r="M13" s="15">
        <f t="shared" si="2"/>
        <v>78530</v>
      </c>
    </row>
    <row r="14" spans="1:13" ht="48" customHeight="1">
      <c r="A14" s="10" t="s">
        <v>46</v>
      </c>
      <c r="B14" s="31" t="s">
        <v>137</v>
      </c>
      <c r="C14" s="15">
        <v>110077</v>
      </c>
      <c r="D14" s="15"/>
      <c r="E14" s="15">
        <f t="shared" si="0"/>
        <v>110077</v>
      </c>
      <c r="F14" s="15">
        <v>142467</v>
      </c>
      <c r="G14" s="15"/>
      <c r="H14" s="15">
        <v>132899</v>
      </c>
      <c r="I14" s="15"/>
      <c r="J14" s="15">
        <f t="shared" si="1"/>
        <v>132899</v>
      </c>
      <c r="K14" s="15">
        <v>142467</v>
      </c>
      <c r="L14" s="15"/>
      <c r="M14" s="15">
        <f t="shared" si="2"/>
        <v>142467</v>
      </c>
    </row>
    <row r="15" spans="1:13" ht="15.75" customHeight="1">
      <c r="A15" s="10" t="s">
        <v>47</v>
      </c>
      <c r="B15" s="31" t="s">
        <v>3</v>
      </c>
      <c r="C15" s="15">
        <v>18241</v>
      </c>
      <c r="D15" s="15"/>
      <c r="E15" s="15">
        <f t="shared" si="0"/>
        <v>18241</v>
      </c>
      <c r="F15" s="15">
        <v>23842</v>
      </c>
      <c r="G15" s="15"/>
      <c r="H15" s="15">
        <v>22241</v>
      </c>
      <c r="I15" s="15"/>
      <c r="J15" s="15">
        <f t="shared" si="1"/>
        <v>22241</v>
      </c>
      <c r="K15" s="15">
        <v>23842</v>
      </c>
      <c r="L15" s="15"/>
      <c r="M15" s="15">
        <f t="shared" si="2"/>
        <v>23842</v>
      </c>
    </row>
    <row r="16" spans="1:13" ht="16.5" customHeight="1">
      <c r="A16" s="10" t="s">
        <v>128</v>
      </c>
      <c r="B16" s="34" t="s">
        <v>4</v>
      </c>
      <c r="C16" s="15">
        <v>891968</v>
      </c>
      <c r="D16" s="15"/>
      <c r="E16" s="15">
        <f t="shared" si="0"/>
        <v>891968</v>
      </c>
      <c r="F16" s="15">
        <f>1329595+7401</f>
        <v>1336996</v>
      </c>
      <c r="G16" s="15"/>
      <c r="H16" s="15">
        <v>1198178</v>
      </c>
      <c r="I16" s="15"/>
      <c r="J16" s="15">
        <f t="shared" si="1"/>
        <v>1198178</v>
      </c>
      <c r="K16" s="15">
        <v>1336996</v>
      </c>
      <c r="L16" s="15"/>
      <c r="M16" s="15">
        <f t="shared" si="2"/>
        <v>1336996</v>
      </c>
    </row>
    <row r="17" spans="1:13" s="17" customFormat="1" ht="15.75">
      <c r="A17" s="10" t="s">
        <v>48</v>
      </c>
      <c r="B17" s="31" t="s">
        <v>5</v>
      </c>
      <c r="C17" s="15">
        <v>35475</v>
      </c>
      <c r="D17" s="15"/>
      <c r="E17" s="15">
        <f t="shared" si="0"/>
        <v>35475</v>
      </c>
      <c r="F17" s="15">
        <v>100000</v>
      </c>
      <c r="G17" s="15"/>
      <c r="H17" s="15">
        <v>100000</v>
      </c>
      <c r="I17" s="15"/>
      <c r="J17" s="15">
        <f t="shared" si="1"/>
        <v>100000</v>
      </c>
      <c r="K17" s="15">
        <v>100000</v>
      </c>
      <c r="L17" s="15"/>
      <c r="M17" s="15">
        <f t="shared" si="2"/>
        <v>100000</v>
      </c>
    </row>
    <row r="18" spans="1:13" ht="15.75">
      <c r="A18" s="10" t="s">
        <v>99</v>
      </c>
      <c r="B18" s="31" t="s">
        <v>6</v>
      </c>
      <c r="C18" s="15">
        <v>749676</v>
      </c>
      <c r="D18" s="15">
        <v>13551</v>
      </c>
      <c r="E18" s="15">
        <f t="shared" si="0"/>
        <v>763227</v>
      </c>
      <c r="F18" s="15">
        <f>40000+719929+13714+77464-8067+990</f>
        <v>844030</v>
      </c>
      <c r="G18" s="15"/>
      <c r="H18" s="15">
        <v>854718</v>
      </c>
      <c r="I18" s="15"/>
      <c r="J18" s="15">
        <f t="shared" si="1"/>
        <v>854718</v>
      </c>
      <c r="K18" s="15">
        <v>844030</v>
      </c>
      <c r="L18" s="15"/>
      <c r="M18" s="15">
        <f t="shared" si="2"/>
        <v>844030</v>
      </c>
    </row>
    <row r="19" spans="1:13" s="6" customFormat="1" ht="15.75">
      <c r="A19" s="9" t="s">
        <v>49</v>
      </c>
      <c r="B19" s="32" t="s">
        <v>7</v>
      </c>
      <c r="C19" s="14">
        <v>28520</v>
      </c>
      <c r="D19" s="14">
        <f>SUM(D20:D20)</f>
        <v>-10927</v>
      </c>
      <c r="E19" s="14">
        <f t="shared" si="0"/>
        <v>17593</v>
      </c>
      <c r="F19" s="14">
        <f>SUM(F20:F20)</f>
        <v>33972</v>
      </c>
      <c r="G19" s="14">
        <f>SUM(G20:G20)</f>
        <v>0</v>
      </c>
      <c r="H19" s="14">
        <v>31691</v>
      </c>
      <c r="I19" s="14">
        <f>SUM(I20:I20)</f>
        <v>0</v>
      </c>
      <c r="J19" s="14">
        <f t="shared" si="1"/>
        <v>31691</v>
      </c>
      <c r="K19" s="14">
        <v>33972</v>
      </c>
      <c r="L19" s="14">
        <f>SUM(L20:L20)</f>
        <v>0</v>
      </c>
      <c r="M19" s="14">
        <f t="shared" si="2"/>
        <v>33972</v>
      </c>
    </row>
    <row r="20" spans="1:13" ht="15.75">
      <c r="A20" s="10" t="s">
        <v>100</v>
      </c>
      <c r="B20" s="31" t="s">
        <v>8</v>
      </c>
      <c r="C20" s="15">
        <v>28520</v>
      </c>
      <c r="D20" s="15">
        <v>-10927</v>
      </c>
      <c r="E20" s="15">
        <f t="shared" si="0"/>
        <v>17593</v>
      </c>
      <c r="F20" s="15">
        <f>6684+12592+14696</f>
        <v>33972</v>
      </c>
      <c r="G20" s="15"/>
      <c r="H20" s="15">
        <v>31691</v>
      </c>
      <c r="I20" s="15"/>
      <c r="J20" s="15">
        <f t="shared" si="1"/>
        <v>31691</v>
      </c>
      <c r="K20" s="15">
        <v>33972</v>
      </c>
      <c r="L20" s="15"/>
      <c r="M20" s="15">
        <f t="shared" si="2"/>
        <v>33972</v>
      </c>
    </row>
    <row r="21" spans="1:13" s="6" customFormat="1" ht="33" customHeight="1">
      <c r="A21" s="9" t="s">
        <v>50</v>
      </c>
      <c r="B21" s="32" t="s">
        <v>9</v>
      </c>
      <c r="C21" s="14">
        <v>1205234</v>
      </c>
      <c r="D21" s="14">
        <f>SUM(D22:D24)</f>
        <v>29924</v>
      </c>
      <c r="E21" s="14">
        <f t="shared" si="0"/>
        <v>1235158</v>
      </c>
      <c r="F21" s="14">
        <f>SUM(F22:F24)</f>
        <v>1419885</v>
      </c>
      <c r="G21" s="14">
        <f>SUM(G22:G24)</f>
        <v>0</v>
      </c>
      <c r="H21" s="14">
        <v>1354476</v>
      </c>
      <c r="I21" s="14">
        <f>SUM(I22:I24)</f>
        <v>0</v>
      </c>
      <c r="J21" s="14">
        <f t="shared" si="1"/>
        <v>1354476</v>
      </c>
      <c r="K21" s="14">
        <v>1419885</v>
      </c>
      <c r="L21" s="14">
        <f>SUM(L22:L24)</f>
        <v>0</v>
      </c>
      <c r="M21" s="14">
        <f t="shared" si="2"/>
        <v>1419885</v>
      </c>
    </row>
    <row r="22" spans="1:13" ht="15.75">
      <c r="A22" s="10" t="s">
        <v>51</v>
      </c>
      <c r="B22" s="31" t="s">
        <v>10</v>
      </c>
      <c r="C22" s="15">
        <v>811129</v>
      </c>
      <c r="D22" s="15">
        <v>18997</v>
      </c>
      <c r="E22" s="15">
        <f t="shared" si="0"/>
        <v>830126</v>
      </c>
      <c r="F22" s="15">
        <v>913684</v>
      </c>
      <c r="G22" s="15"/>
      <c r="H22" s="15">
        <v>881200</v>
      </c>
      <c r="I22" s="15"/>
      <c r="J22" s="15">
        <f t="shared" si="1"/>
        <v>881200</v>
      </c>
      <c r="K22" s="15">
        <v>913684</v>
      </c>
      <c r="L22" s="15"/>
      <c r="M22" s="15">
        <f t="shared" si="2"/>
        <v>913684</v>
      </c>
    </row>
    <row r="23" spans="1:13" ht="31.5" customHeight="1">
      <c r="A23" s="10" t="s">
        <v>52</v>
      </c>
      <c r="B23" s="31" t="s">
        <v>141</v>
      </c>
      <c r="C23" s="15">
        <v>102641</v>
      </c>
      <c r="D23" s="15">
        <f>8000+10927-8000</f>
        <v>10927</v>
      </c>
      <c r="E23" s="15">
        <f t="shared" si="0"/>
        <v>113568</v>
      </c>
      <c r="F23" s="15">
        <f>16000+94490+277</f>
        <v>110767</v>
      </c>
      <c r="G23" s="15"/>
      <c r="H23" s="15">
        <v>104401</v>
      </c>
      <c r="I23" s="15"/>
      <c r="J23" s="15">
        <f t="shared" si="1"/>
        <v>104401</v>
      </c>
      <c r="K23" s="15">
        <v>110767</v>
      </c>
      <c r="L23" s="15"/>
      <c r="M23" s="15">
        <f t="shared" si="2"/>
        <v>110767</v>
      </c>
    </row>
    <row r="24" spans="1:13" ht="15.75">
      <c r="A24" s="10" t="s">
        <v>53</v>
      </c>
      <c r="B24" s="31" t="s">
        <v>101</v>
      </c>
      <c r="C24" s="15">
        <v>291464</v>
      </c>
      <c r="D24" s="15"/>
      <c r="E24" s="15">
        <f t="shared" si="0"/>
        <v>291464</v>
      </c>
      <c r="F24" s="15">
        <v>395434</v>
      </c>
      <c r="G24" s="15"/>
      <c r="H24" s="15">
        <v>368875</v>
      </c>
      <c r="I24" s="15"/>
      <c r="J24" s="15">
        <f t="shared" si="1"/>
        <v>368875</v>
      </c>
      <c r="K24" s="15">
        <v>395434</v>
      </c>
      <c r="L24" s="15"/>
      <c r="M24" s="15">
        <f t="shared" si="2"/>
        <v>395434</v>
      </c>
    </row>
    <row r="25" spans="1:13" s="6" customFormat="1" ht="15.75">
      <c r="A25" s="9" t="s">
        <v>54</v>
      </c>
      <c r="B25" s="33" t="s">
        <v>11</v>
      </c>
      <c r="C25" s="14">
        <v>7231317</v>
      </c>
      <c r="D25" s="14">
        <f>SUM(D26:D34)</f>
        <v>288289</v>
      </c>
      <c r="E25" s="14">
        <f t="shared" si="0"/>
        <v>7519606</v>
      </c>
      <c r="F25" s="14">
        <f>SUM(F26:F34)</f>
        <v>4500215</v>
      </c>
      <c r="G25" s="14">
        <f>SUM(G26:G34)</f>
        <v>1050</v>
      </c>
      <c r="H25" s="14">
        <v>6235732</v>
      </c>
      <c r="I25" s="14">
        <f>SUM(I26:I34)</f>
        <v>0</v>
      </c>
      <c r="J25" s="14">
        <f t="shared" si="1"/>
        <v>6235732</v>
      </c>
      <c r="K25" s="14">
        <v>4501265</v>
      </c>
      <c r="L25" s="14">
        <f>SUM(L26:L34)</f>
        <v>0</v>
      </c>
      <c r="M25" s="14">
        <f t="shared" si="2"/>
        <v>4501265</v>
      </c>
    </row>
    <row r="26" spans="1:13" ht="15.75">
      <c r="A26" s="10" t="s">
        <v>55</v>
      </c>
      <c r="B26" s="31" t="s">
        <v>12</v>
      </c>
      <c r="C26" s="15">
        <v>229354</v>
      </c>
      <c r="D26" s="15">
        <v>187245</v>
      </c>
      <c r="E26" s="15">
        <f t="shared" si="0"/>
        <v>416599</v>
      </c>
      <c r="F26" s="15">
        <v>246519</v>
      </c>
      <c r="G26" s="15"/>
      <c r="H26" s="15">
        <v>230126</v>
      </c>
      <c r="I26" s="15"/>
      <c r="J26" s="15">
        <f t="shared" si="1"/>
        <v>230126</v>
      </c>
      <c r="K26" s="15">
        <v>246519</v>
      </c>
      <c r="L26" s="15"/>
      <c r="M26" s="15">
        <f t="shared" si="2"/>
        <v>246519</v>
      </c>
    </row>
    <row r="27" spans="1:13" ht="15.75">
      <c r="A27" s="10" t="s">
        <v>56</v>
      </c>
      <c r="B27" s="31" t="s">
        <v>161</v>
      </c>
      <c r="C27" s="15">
        <v>36988</v>
      </c>
      <c r="D27" s="15"/>
      <c r="E27" s="15">
        <f t="shared" si="0"/>
        <v>36988</v>
      </c>
      <c r="F27" s="15">
        <f>3802+46117</f>
        <v>49919</v>
      </c>
      <c r="G27" s="15"/>
      <c r="H27" s="15">
        <v>46620</v>
      </c>
      <c r="I27" s="15"/>
      <c r="J27" s="15">
        <f t="shared" si="1"/>
        <v>46620</v>
      </c>
      <c r="K27" s="15">
        <v>49919</v>
      </c>
      <c r="L27" s="15"/>
      <c r="M27" s="15">
        <f t="shared" si="2"/>
        <v>49919</v>
      </c>
    </row>
    <row r="28" spans="1:13" ht="15.75">
      <c r="A28" s="10" t="s">
        <v>57</v>
      </c>
      <c r="B28" s="31" t="s">
        <v>13</v>
      </c>
      <c r="C28" s="15">
        <v>3700</v>
      </c>
      <c r="D28" s="15"/>
      <c r="E28" s="15">
        <f t="shared" si="0"/>
        <v>3700</v>
      </c>
      <c r="F28" s="15">
        <v>4200</v>
      </c>
      <c r="G28" s="15"/>
      <c r="H28" s="15">
        <v>3900</v>
      </c>
      <c r="I28" s="15"/>
      <c r="J28" s="15">
        <f t="shared" si="1"/>
        <v>3900</v>
      </c>
      <c r="K28" s="15">
        <v>4200</v>
      </c>
      <c r="L28" s="15"/>
      <c r="M28" s="15">
        <f t="shared" si="2"/>
        <v>4200</v>
      </c>
    </row>
    <row r="29" spans="1:13" ht="15.75">
      <c r="A29" s="10" t="s">
        <v>58</v>
      </c>
      <c r="B29" s="34" t="s">
        <v>14</v>
      </c>
      <c r="C29" s="15">
        <v>700510</v>
      </c>
      <c r="D29" s="15">
        <f>28260+1138</f>
        <v>29398</v>
      </c>
      <c r="E29" s="15">
        <f t="shared" si="0"/>
        <v>729908</v>
      </c>
      <c r="F29" s="15">
        <f>687840+91253</f>
        <v>779093</v>
      </c>
      <c r="G29" s="15"/>
      <c r="H29" s="15">
        <v>768824</v>
      </c>
      <c r="I29" s="15"/>
      <c r="J29" s="15">
        <f t="shared" si="1"/>
        <v>768824</v>
      </c>
      <c r="K29" s="15">
        <v>779093</v>
      </c>
      <c r="L29" s="15"/>
      <c r="M29" s="15">
        <f t="shared" si="2"/>
        <v>779093</v>
      </c>
    </row>
    <row r="30" spans="1:13" ht="15.75">
      <c r="A30" s="10" t="s">
        <v>96</v>
      </c>
      <c r="B30" s="31" t="s">
        <v>169</v>
      </c>
      <c r="C30" s="15">
        <v>14243</v>
      </c>
      <c r="D30" s="15">
        <v>11150</v>
      </c>
      <c r="E30" s="15">
        <f t="shared" si="0"/>
        <v>25393</v>
      </c>
      <c r="F30" s="15">
        <f>32369-16000</f>
        <v>16369</v>
      </c>
      <c r="G30" s="15"/>
      <c r="H30" s="15">
        <v>16369</v>
      </c>
      <c r="I30" s="15"/>
      <c r="J30" s="15">
        <f t="shared" si="1"/>
        <v>16369</v>
      </c>
      <c r="K30" s="15">
        <v>16369</v>
      </c>
      <c r="L30" s="15"/>
      <c r="M30" s="15">
        <f t="shared" si="2"/>
        <v>16369</v>
      </c>
    </row>
    <row r="31" spans="1:13" ht="15.75">
      <c r="A31" s="10" t="s">
        <v>79</v>
      </c>
      <c r="B31" s="31" t="s">
        <v>15</v>
      </c>
      <c r="C31" s="15">
        <v>148787</v>
      </c>
      <c r="D31" s="15">
        <f>1943+12776</f>
        <v>14719</v>
      </c>
      <c r="E31" s="15">
        <f t="shared" si="0"/>
        <v>163506</v>
      </c>
      <c r="F31" s="15">
        <f>129366+30000</f>
        <v>159366</v>
      </c>
      <c r="G31" s="15"/>
      <c r="H31" s="15">
        <v>157095</v>
      </c>
      <c r="I31" s="15"/>
      <c r="J31" s="15">
        <f t="shared" si="1"/>
        <v>157095</v>
      </c>
      <c r="K31" s="15">
        <v>159366</v>
      </c>
      <c r="L31" s="15"/>
      <c r="M31" s="15">
        <f t="shared" si="2"/>
        <v>159366</v>
      </c>
    </row>
    <row r="32" spans="1:13" ht="15.75">
      <c r="A32" s="10" t="s">
        <v>59</v>
      </c>
      <c r="B32" s="31" t="s">
        <v>16</v>
      </c>
      <c r="C32" s="15">
        <v>250437</v>
      </c>
      <c r="D32" s="15"/>
      <c r="E32" s="15">
        <f t="shared" si="0"/>
        <v>250437</v>
      </c>
      <c r="F32" s="15">
        <v>242507</v>
      </c>
      <c r="G32" s="15"/>
      <c r="H32" s="15">
        <v>240874</v>
      </c>
      <c r="I32" s="15"/>
      <c r="J32" s="15">
        <f t="shared" si="1"/>
        <v>240874</v>
      </c>
      <c r="K32" s="15">
        <v>242507</v>
      </c>
      <c r="L32" s="15"/>
      <c r="M32" s="15">
        <f t="shared" si="2"/>
        <v>242507</v>
      </c>
    </row>
    <row r="33" spans="1:13" ht="15.75">
      <c r="A33" s="10" t="s">
        <v>60</v>
      </c>
      <c r="B33" s="31" t="s">
        <v>138</v>
      </c>
      <c r="C33" s="15">
        <v>5661038</v>
      </c>
      <c r="D33" s="15">
        <f>2895-2575</f>
        <v>320</v>
      </c>
      <c r="E33" s="15">
        <f t="shared" si="0"/>
        <v>5661358</v>
      </c>
      <c r="F33" s="15">
        <f>2591601+71324</f>
        <v>2662925</v>
      </c>
      <c r="G33" s="15"/>
      <c r="H33" s="15">
        <v>4516359</v>
      </c>
      <c r="I33" s="15"/>
      <c r="J33" s="15">
        <f t="shared" si="1"/>
        <v>4516359</v>
      </c>
      <c r="K33" s="15">
        <v>2662925</v>
      </c>
      <c r="L33" s="15"/>
      <c r="M33" s="15">
        <f t="shared" si="2"/>
        <v>2662925</v>
      </c>
    </row>
    <row r="34" spans="1:13" ht="15.75">
      <c r="A34" s="10" t="s">
        <v>102</v>
      </c>
      <c r="B34" s="31" t="s">
        <v>17</v>
      </c>
      <c r="C34" s="15">
        <v>186260</v>
      </c>
      <c r="D34" s="15">
        <f>52179+1125-7847</f>
        <v>45457</v>
      </c>
      <c r="E34" s="15">
        <f t="shared" si="0"/>
        <v>231717</v>
      </c>
      <c r="F34" s="15">
        <f>3500+3000+221923+102827+8067</f>
        <v>339317</v>
      </c>
      <c r="G34" s="15">
        <v>1050</v>
      </c>
      <c r="H34" s="15">
        <v>255565</v>
      </c>
      <c r="I34" s="15"/>
      <c r="J34" s="15">
        <f t="shared" si="1"/>
        <v>255565</v>
      </c>
      <c r="K34" s="15">
        <v>340367</v>
      </c>
      <c r="L34" s="15"/>
      <c r="M34" s="15">
        <f t="shared" si="2"/>
        <v>340367</v>
      </c>
    </row>
    <row r="35" spans="1:13" s="6" customFormat="1" ht="15.75">
      <c r="A35" s="9" t="s">
        <v>61</v>
      </c>
      <c r="B35" s="32" t="s">
        <v>18</v>
      </c>
      <c r="C35" s="14">
        <v>648345</v>
      </c>
      <c r="D35" s="14">
        <f>SUM(D36:D38)</f>
        <v>61707</v>
      </c>
      <c r="E35" s="14">
        <f t="shared" si="0"/>
        <v>710052</v>
      </c>
      <c r="F35" s="14">
        <f>SUM(F36:F38)</f>
        <v>497917</v>
      </c>
      <c r="G35" s="14">
        <f>SUM(G36:G38)</f>
        <v>0</v>
      </c>
      <c r="H35" s="14">
        <v>377954</v>
      </c>
      <c r="I35" s="14">
        <f>SUM(I36:I38)</f>
        <v>0</v>
      </c>
      <c r="J35" s="14">
        <f t="shared" si="1"/>
        <v>377954</v>
      </c>
      <c r="K35" s="14">
        <v>497917</v>
      </c>
      <c r="L35" s="14">
        <f>SUM(L36:L38)</f>
        <v>0</v>
      </c>
      <c r="M35" s="14">
        <f t="shared" si="2"/>
        <v>497917</v>
      </c>
    </row>
    <row r="36" spans="1:13" ht="15.75">
      <c r="A36" s="10" t="s">
        <v>103</v>
      </c>
      <c r="B36" s="31" t="s">
        <v>19</v>
      </c>
      <c r="C36" s="15">
        <v>559030</v>
      </c>
      <c r="D36" s="15">
        <v>61707</v>
      </c>
      <c r="E36" s="15">
        <f t="shared" si="0"/>
        <v>620737</v>
      </c>
      <c r="F36" s="15"/>
      <c r="G36" s="15"/>
      <c r="H36" s="15">
        <v>0</v>
      </c>
      <c r="I36" s="15"/>
      <c r="J36" s="15">
        <f t="shared" si="1"/>
        <v>0</v>
      </c>
      <c r="K36" s="15">
        <v>0</v>
      </c>
      <c r="L36" s="15"/>
      <c r="M36" s="15">
        <f t="shared" si="2"/>
        <v>0</v>
      </c>
    </row>
    <row r="37" spans="1:13" ht="15.75">
      <c r="A37" s="10" t="s">
        <v>80</v>
      </c>
      <c r="B37" s="31" t="s">
        <v>20</v>
      </c>
      <c r="C37" s="15">
        <v>35000</v>
      </c>
      <c r="D37" s="15"/>
      <c r="E37" s="15">
        <f t="shared" si="0"/>
        <v>35000</v>
      </c>
      <c r="F37" s="15">
        <v>430651</v>
      </c>
      <c r="G37" s="15"/>
      <c r="H37" s="15">
        <v>315259</v>
      </c>
      <c r="I37" s="15"/>
      <c r="J37" s="15">
        <f t="shared" si="1"/>
        <v>315259</v>
      </c>
      <c r="K37" s="15">
        <v>430651</v>
      </c>
      <c r="L37" s="15"/>
      <c r="M37" s="15">
        <f t="shared" si="2"/>
        <v>430651</v>
      </c>
    </row>
    <row r="38" spans="1:13" ht="19.5" customHeight="1">
      <c r="A38" s="10" t="s">
        <v>104</v>
      </c>
      <c r="B38" s="31" t="s">
        <v>21</v>
      </c>
      <c r="C38" s="15">
        <v>54315</v>
      </c>
      <c r="D38" s="15"/>
      <c r="E38" s="15">
        <f t="shared" si="0"/>
        <v>54315</v>
      </c>
      <c r="F38" s="15">
        <f>18755+48511</f>
        <v>67266</v>
      </c>
      <c r="G38" s="15"/>
      <c r="H38" s="15">
        <v>62695</v>
      </c>
      <c r="I38" s="15"/>
      <c r="J38" s="15">
        <f t="shared" si="1"/>
        <v>62695</v>
      </c>
      <c r="K38" s="15">
        <v>67266</v>
      </c>
      <c r="L38" s="15"/>
      <c r="M38" s="15">
        <f t="shared" si="2"/>
        <v>67266</v>
      </c>
    </row>
    <row r="39" spans="1:13" s="6" customFormat="1" ht="15.75">
      <c r="A39" s="9" t="s">
        <v>62</v>
      </c>
      <c r="B39" s="32" t="s">
        <v>22</v>
      </c>
      <c r="C39" s="14">
        <v>45340</v>
      </c>
      <c r="D39" s="14">
        <f>SUM(D40:D40)</f>
        <v>0</v>
      </c>
      <c r="E39" s="14">
        <f t="shared" si="0"/>
        <v>45340</v>
      </c>
      <c r="F39" s="14">
        <f>SUM(F40:F40)</f>
        <v>59262</v>
      </c>
      <c r="G39" s="14">
        <f>SUM(G40:G40)</f>
        <v>0</v>
      </c>
      <c r="H39" s="14">
        <v>55214</v>
      </c>
      <c r="I39" s="14">
        <f>SUM(I40:I40)</f>
        <v>0</v>
      </c>
      <c r="J39" s="14">
        <f t="shared" si="1"/>
        <v>55214</v>
      </c>
      <c r="K39" s="14">
        <v>59262</v>
      </c>
      <c r="L39" s="14">
        <f>SUM(L40:L40)</f>
        <v>0</v>
      </c>
      <c r="M39" s="14">
        <f t="shared" si="2"/>
        <v>59262</v>
      </c>
    </row>
    <row r="40" spans="1:13" ht="16.5" customHeight="1">
      <c r="A40" s="10" t="s">
        <v>105</v>
      </c>
      <c r="B40" s="31" t="s">
        <v>23</v>
      </c>
      <c r="C40" s="15">
        <v>45340</v>
      </c>
      <c r="D40" s="15"/>
      <c r="E40" s="15">
        <f t="shared" si="0"/>
        <v>45340</v>
      </c>
      <c r="F40" s="15">
        <f>11623+47639</f>
        <v>59262</v>
      </c>
      <c r="G40" s="15"/>
      <c r="H40" s="15">
        <v>55214</v>
      </c>
      <c r="I40" s="15"/>
      <c r="J40" s="15">
        <f t="shared" si="1"/>
        <v>55214</v>
      </c>
      <c r="K40" s="15">
        <v>59262</v>
      </c>
      <c r="L40" s="15"/>
      <c r="M40" s="15">
        <f t="shared" si="2"/>
        <v>59262</v>
      </c>
    </row>
    <row r="41" spans="1:13" s="6" customFormat="1" ht="15.75">
      <c r="A41" s="9" t="s">
        <v>63</v>
      </c>
      <c r="B41" s="32" t="s">
        <v>24</v>
      </c>
      <c r="C41" s="14">
        <v>1987953</v>
      </c>
      <c r="D41" s="14">
        <f>SUM(D42:D47)</f>
        <v>-16729</v>
      </c>
      <c r="E41" s="14">
        <f t="shared" si="0"/>
        <v>1971224</v>
      </c>
      <c r="F41" s="14">
        <f>SUM(F42:F47)</f>
        <v>2371237</v>
      </c>
      <c r="G41" s="14">
        <f>SUM(G42:G47)</f>
        <v>250</v>
      </c>
      <c r="H41" s="14">
        <v>2216465</v>
      </c>
      <c r="I41" s="14">
        <f>SUM(I42:I47)</f>
        <v>0</v>
      </c>
      <c r="J41" s="14">
        <f t="shared" si="1"/>
        <v>2216465</v>
      </c>
      <c r="K41" s="14">
        <v>2371487</v>
      </c>
      <c r="L41" s="14">
        <f>SUM(L42:L47)</f>
        <v>0</v>
      </c>
      <c r="M41" s="14">
        <f t="shared" si="2"/>
        <v>2371487</v>
      </c>
    </row>
    <row r="42" spans="1:13" ht="15.75">
      <c r="A42" s="10" t="s">
        <v>64</v>
      </c>
      <c r="B42" s="31" t="s">
        <v>25</v>
      </c>
      <c r="C42" s="15">
        <v>536115</v>
      </c>
      <c r="D42" s="15">
        <v>-80</v>
      </c>
      <c r="E42" s="15">
        <f aca="true" t="shared" si="3" ref="E42:E77">C42+D42</f>
        <v>536035</v>
      </c>
      <c r="F42" s="15">
        <v>618354</v>
      </c>
      <c r="G42" s="15"/>
      <c r="H42" s="15">
        <v>578110</v>
      </c>
      <c r="I42" s="15"/>
      <c r="J42" s="15">
        <f aca="true" t="shared" si="4" ref="J42:J78">H42+I42</f>
        <v>578110</v>
      </c>
      <c r="K42" s="15">
        <v>618354</v>
      </c>
      <c r="L42" s="15"/>
      <c r="M42" s="15">
        <f aca="true" t="shared" si="5" ref="M42:M78">K42+L42</f>
        <v>618354</v>
      </c>
    </row>
    <row r="43" spans="1:13" ht="15.75">
      <c r="A43" s="10" t="s">
        <v>65</v>
      </c>
      <c r="B43" s="31" t="s">
        <v>26</v>
      </c>
      <c r="C43" s="15">
        <v>700822</v>
      </c>
      <c r="D43" s="15"/>
      <c r="E43" s="15">
        <f t="shared" si="3"/>
        <v>700822</v>
      </c>
      <c r="F43" s="15">
        <v>839151</v>
      </c>
      <c r="G43" s="15"/>
      <c r="H43" s="15">
        <v>782790</v>
      </c>
      <c r="I43" s="15"/>
      <c r="J43" s="15">
        <f t="shared" si="4"/>
        <v>782790</v>
      </c>
      <c r="K43" s="15">
        <v>839151</v>
      </c>
      <c r="L43" s="15"/>
      <c r="M43" s="15">
        <f t="shared" si="5"/>
        <v>839151</v>
      </c>
    </row>
    <row r="44" spans="1:13" ht="15.75">
      <c r="A44" s="10" t="s">
        <v>66</v>
      </c>
      <c r="B44" s="31" t="s">
        <v>27</v>
      </c>
      <c r="C44" s="15">
        <v>358433</v>
      </c>
      <c r="D44" s="15"/>
      <c r="E44" s="15">
        <f t="shared" si="3"/>
        <v>358433</v>
      </c>
      <c r="F44" s="15">
        <v>449528</v>
      </c>
      <c r="G44" s="15"/>
      <c r="H44" s="15">
        <v>419585</v>
      </c>
      <c r="I44" s="15"/>
      <c r="J44" s="15">
        <f t="shared" si="4"/>
        <v>419585</v>
      </c>
      <c r="K44" s="15">
        <v>449528</v>
      </c>
      <c r="L44" s="15"/>
      <c r="M44" s="15">
        <f t="shared" si="5"/>
        <v>449528</v>
      </c>
    </row>
    <row r="45" spans="1:13" ht="33" customHeight="1">
      <c r="A45" s="10" t="s">
        <v>67</v>
      </c>
      <c r="B45" s="31" t="s">
        <v>106</v>
      </c>
      <c r="C45" s="15">
        <v>55960</v>
      </c>
      <c r="D45" s="15"/>
      <c r="E45" s="15">
        <f t="shared" si="3"/>
        <v>55960</v>
      </c>
      <c r="F45" s="15">
        <f>8039+57505+1049</f>
        <v>66593</v>
      </c>
      <c r="G45" s="15"/>
      <c r="H45" s="15">
        <v>62120</v>
      </c>
      <c r="I45" s="15"/>
      <c r="J45" s="15">
        <f t="shared" si="4"/>
        <v>62120</v>
      </c>
      <c r="K45" s="15">
        <v>66593</v>
      </c>
      <c r="L45" s="15"/>
      <c r="M45" s="15">
        <f t="shared" si="5"/>
        <v>66593</v>
      </c>
    </row>
    <row r="46" spans="1:13" ht="15.75">
      <c r="A46" s="10" t="s">
        <v>68</v>
      </c>
      <c r="B46" s="31" t="s">
        <v>28</v>
      </c>
      <c r="C46" s="15">
        <v>59078</v>
      </c>
      <c r="D46" s="15">
        <v>-4000</v>
      </c>
      <c r="E46" s="15">
        <f t="shared" si="3"/>
        <v>55078</v>
      </c>
      <c r="F46" s="15">
        <f>55045+13797</f>
        <v>68842</v>
      </c>
      <c r="G46" s="15"/>
      <c r="H46" s="15">
        <v>64434</v>
      </c>
      <c r="I46" s="15"/>
      <c r="J46" s="15">
        <f t="shared" si="4"/>
        <v>64434</v>
      </c>
      <c r="K46" s="15">
        <v>68842</v>
      </c>
      <c r="L46" s="15"/>
      <c r="M46" s="15">
        <f t="shared" si="5"/>
        <v>68842</v>
      </c>
    </row>
    <row r="47" spans="1:13" ht="15.75">
      <c r="A47" s="10" t="s">
        <v>69</v>
      </c>
      <c r="B47" s="31" t="s">
        <v>29</v>
      </c>
      <c r="C47" s="15">
        <v>277545</v>
      </c>
      <c r="D47" s="15">
        <v>-12649</v>
      </c>
      <c r="E47" s="15">
        <f t="shared" si="3"/>
        <v>264896</v>
      </c>
      <c r="F47" s="15">
        <f>283674+45095</f>
        <v>328769</v>
      </c>
      <c r="G47" s="15">
        <v>250</v>
      </c>
      <c r="H47" s="15">
        <v>309426</v>
      </c>
      <c r="I47" s="15"/>
      <c r="J47" s="15">
        <f t="shared" si="4"/>
        <v>309426</v>
      </c>
      <c r="K47" s="15">
        <v>329019</v>
      </c>
      <c r="L47" s="15"/>
      <c r="M47" s="15">
        <f t="shared" si="5"/>
        <v>329019</v>
      </c>
    </row>
    <row r="48" spans="1:13" s="6" customFormat="1" ht="17.25" customHeight="1">
      <c r="A48" s="9" t="s">
        <v>70</v>
      </c>
      <c r="B48" s="32" t="s">
        <v>134</v>
      </c>
      <c r="C48" s="14">
        <v>1328320</v>
      </c>
      <c r="D48" s="14">
        <f>SUM(D49:D51)</f>
        <v>380100</v>
      </c>
      <c r="E48" s="14">
        <f t="shared" si="3"/>
        <v>1708420</v>
      </c>
      <c r="F48" s="14">
        <f>SUM(F49:F51)</f>
        <v>614017</v>
      </c>
      <c r="G48" s="14">
        <f>SUM(G49:G51)</f>
        <v>-250</v>
      </c>
      <c r="H48" s="14">
        <v>1073363</v>
      </c>
      <c r="I48" s="14">
        <f>SUM(I49:I51)</f>
        <v>0</v>
      </c>
      <c r="J48" s="14">
        <f t="shared" si="4"/>
        <v>1073363</v>
      </c>
      <c r="K48" s="14">
        <v>613767</v>
      </c>
      <c r="L48" s="14">
        <f>SUM(L49:L51)</f>
        <v>0</v>
      </c>
      <c r="M48" s="14">
        <f t="shared" si="5"/>
        <v>613767</v>
      </c>
    </row>
    <row r="49" spans="1:13" ht="15.75">
      <c r="A49" s="10" t="s">
        <v>71</v>
      </c>
      <c r="B49" s="31" t="s">
        <v>30</v>
      </c>
      <c r="C49" s="15">
        <v>1285755</v>
      </c>
      <c r="D49" s="15">
        <f>100+380000</f>
        <v>380100</v>
      </c>
      <c r="E49" s="15">
        <f t="shared" si="3"/>
        <v>1665855</v>
      </c>
      <c r="F49" s="15">
        <v>556396</v>
      </c>
      <c r="G49" s="15">
        <v>250</v>
      </c>
      <c r="H49" s="15">
        <v>1020078</v>
      </c>
      <c r="I49" s="15"/>
      <c r="J49" s="15">
        <f t="shared" si="4"/>
        <v>1020078</v>
      </c>
      <c r="K49" s="15">
        <v>556646</v>
      </c>
      <c r="L49" s="15"/>
      <c r="M49" s="15">
        <f t="shared" si="5"/>
        <v>556646</v>
      </c>
    </row>
    <row r="50" spans="1:13" ht="15.75">
      <c r="A50" s="10" t="s">
        <v>72</v>
      </c>
      <c r="B50" s="31" t="s">
        <v>31</v>
      </c>
      <c r="C50" s="15">
        <v>2700</v>
      </c>
      <c r="D50" s="15"/>
      <c r="E50" s="15">
        <f t="shared" si="3"/>
        <v>2700</v>
      </c>
      <c r="F50" s="15">
        <v>3112</v>
      </c>
      <c r="G50" s="15"/>
      <c r="H50" s="15">
        <v>2903</v>
      </c>
      <c r="I50" s="15"/>
      <c r="J50" s="15">
        <f t="shared" si="4"/>
        <v>2903</v>
      </c>
      <c r="K50" s="15">
        <v>3112</v>
      </c>
      <c r="L50" s="15"/>
      <c r="M50" s="15">
        <f t="shared" si="5"/>
        <v>3112</v>
      </c>
    </row>
    <row r="51" spans="1:13" ht="31.5">
      <c r="A51" s="10" t="s">
        <v>73</v>
      </c>
      <c r="B51" s="31" t="s">
        <v>135</v>
      </c>
      <c r="C51" s="15">
        <v>39865</v>
      </c>
      <c r="D51" s="15"/>
      <c r="E51" s="15">
        <f t="shared" si="3"/>
        <v>39865</v>
      </c>
      <c r="F51" s="15">
        <f>2459+52050</f>
        <v>54509</v>
      </c>
      <c r="G51" s="15">
        <v>-500</v>
      </c>
      <c r="H51" s="15">
        <v>50382</v>
      </c>
      <c r="I51" s="15"/>
      <c r="J51" s="15">
        <f t="shared" si="4"/>
        <v>50382</v>
      </c>
      <c r="K51" s="15">
        <v>54009</v>
      </c>
      <c r="L51" s="15"/>
      <c r="M51" s="15">
        <f t="shared" si="5"/>
        <v>54009</v>
      </c>
    </row>
    <row r="52" spans="1:13" s="6" customFormat="1" ht="15.75">
      <c r="A52" s="9" t="s">
        <v>74</v>
      </c>
      <c r="B52" s="32" t="s">
        <v>107</v>
      </c>
      <c r="C52" s="14">
        <v>2713142</v>
      </c>
      <c r="D52" s="14">
        <f>SUM(D53:D61)</f>
        <v>400137</v>
      </c>
      <c r="E52" s="14">
        <f t="shared" si="3"/>
        <v>3113279</v>
      </c>
      <c r="F52" s="14">
        <f>SUM(F53:F61)</f>
        <v>3198504</v>
      </c>
      <c r="G52" s="14">
        <f>SUM(G53:G61)</f>
        <v>27658</v>
      </c>
      <c r="H52" s="14">
        <v>3348177</v>
      </c>
      <c r="I52" s="14">
        <f>SUM(I53:I61)</f>
        <v>0</v>
      </c>
      <c r="J52" s="14">
        <f t="shared" si="4"/>
        <v>3348177</v>
      </c>
      <c r="K52" s="14">
        <v>3226162</v>
      </c>
      <c r="L52" s="14">
        <f>SUM(L53:L61)</f>
        <v>0</v>
      </c>
      <c r="M52" s="14">
        <f t="shared" si="5"/>
        <v>3226162</v>
      </c>
    </row>
    <row r="53" spans="1:13" ht="15.75">
      <c r="A53" s="10" t="s">
        <v>75</v>
      </c>
      <c r="B53" s="31" t="s">
        <v>108</v>
      </c>
      <c r="C53" s="15">
        <v>1845918</v>
      </c>
      <c r="D53" s="15">
        <f>-164539+119901-35000</f>
        <v>-79638</v>
      </c>
      <c r="E53" s="15">
        <f t="shared" si="3"/>
        <v>1766280</v>
      </c>
      <c r="F53" s="15">
        <f>722000+1474245</f>
        <v>2196245</v>
      </c>
      <c r="G53" s="15">
        <v>24050</v>
      </c>
      <c r="H53" s="15">
        <v>2409064</v>
      </c>
      <c r="I53" s="15"/>
      <c r="J53" s="15">
        <f t="shared" si="4"/>
        <v>2409064</v>
      </c>
      <c r="K53" s="15">
        <v>2220295</v>
      </c>
      <c r="L53" s="15"/>
      <c r="M53" s="15">
        <f t="shared" si="5"/>
        <v>2220295</v>
      </c>
    </row>
    <row r="54" spans="1:13" ht="18.75" customHeight="1">
      <c r="A54" s="10" t="s">
        <v>76</v>
      </c>
      <c r="B54" s="31" t="s">
        <v>109</v>
      </c>
      <c r="C54" s="15">
        <v>112468</v>
      </c>
      <c r="D54" s="15"/>
      <c r="E54" s="15">
        <f t="shared" si="3"/>
        <v>112468</v>
      </c>
      <c r="F54" s="15">
        <v>130367</v>
      </c>
      <c r="G54" s="15"/>
      <c r="H54" s="15">
        <v>121611</v>
      </c>
      <c r="I54" s="15"/>
      <c r="J54" s="15">
        <f t="shared" si="4"/>
        <v>121611</v>
      </c>
      <c r="K54" s="15">
        <v>130367</v>
      </c>
      <c r="L54" s="15"/>
      <c r="M54" s="15">
        <f t="shared" si="5"/>
        <v>130367</v>
      </c>
    </row>
    <row r="55" spans="1:13" ht="16.5" customHeight="1">
      <c r="A55" s="10" t="s">
        <v>110</v>
      </c>
      <c r="B55" s="31" t="s">
        <v>111</v>
      </c>
      <c r="C55" s="15">
        <v>34610</v>
      </c>
      <c r="D55" s="15"/>
      <c r="E55" s="15">
        <f t="shared" si="3"/>
        <v>34610</v>
      </c>
      <c r="F55" s="15">
        <v>44646</v>
      </c>
      <c r="G55" s="15"/>
      <c r="H55" s="15">
        <v>41648</v>
      </c>
      <c r="I55" s="15"/>
      <c r="J55" s="15">
        <f t="shared" si="4"/>
        <v>41648</v>
      </c>
      <c r="K55" s="15">
        <v>44646</v>
      </c>
      <c r="L55" s="15"/>
      <c r="M55" s="15">
        <f t="shared" si="5"/>
        <v>44646</v>
      </c>
    </row>
    <row r="56" spans="1:13" ht="15.75">
      <c r="A56" s="10" t="s">
        <v>77</v>
      </c>
      <c r="B56" s="31" t="s">
        <v>112</v>
      </c>
      <c r="C56" s="15">
        <v>16575</v>
      </c>
      <c r="D56" s="15"/>
      <c r="E56" s="15">
        <f t="shared" si="3"/>
        <v>16575</v>
      </c>
      <c r="F56" s="15">
        <v>20473</v>
      </c>
      <c r="G56" s="15"/>
      <c r="H56" s="15">
        <v>19098</v>
      </c>
      <c r="I56" s="15"/>
      <c r="J56" s="15">
        <f t="shared" si="4"/>
        <v>19098</v>
      </c>
      <c r="K56" s="15">
        <v>20473</v>
      </c>
      <c r="L56" s="15"/>
      <c r="M56" s="15">
        <f t="shared" si="5"/>
        <v>20473</v>
      </c>
    </row>
    <row r="57" spans="1:13" ht="15.75">
      <c r="A57" s="10" t="s">
        <v>113</v>
      </c>
      <c r="B57" s="31" t="s">
        <v>114</v>
      </c>
      <c r="C57" s="15">
        <v>49735</v>
      </c>
      <c r="D57" s="15">
        <v>-1487</v>
      </c>
      <c r="E57" s="15">
        <f t="shared" si="3"/>
        <v>48248</v>
      </c>
      <c r="F57" s="15">
        <v>58693</v>
      </c>
      <c r="G57" s="15"/>
      <c r="H57" s="15">
        <v>54751</v>
      </c>
      <c r="I57" s="15"/>
      <c r="J57" s="15">
        <f t="shared" si="4"/>
        <v>54751</v>
      </c>
      <c r="K57" s="15">
        <v>58693</v>
      </c>
      <c r="L57" s="15"/>
      <c r="M57" s="15">
        <f t="shared" si="5"/>
        <v>58693</v>
      </c>
    </row>
    <row r="58" spans="1:13" ht="31.5">
      <c r="A58" s="10" t="s">
        <v>115</v>
      </c>
      <c r="B58" s="31" t="s">
        <v>140</v>
      </c>
      <c r="C58" s="15">
        <v>73043</v>
      </c>
      <c r="D58" s="15"/>
      <c r="E58" s="15">
        <f t="shared" si="3"/>
        <v>73043</v>
      </c>
      <c r="F58" s="15">
        <v>88286</v>
      </c>
      <c r="G58" s="15"/>
      <c r="H58" s="15">
        <v>82356</v>
      </c>
      <c r="I58" s="15"/>
      <c r="J58" s="15">
        <f t="shared" si="4"/>
        <v>82356</v>
      </c>
      <c r="K58" s="15">
        <v>88286</v>
      </c>
      <c r="L58" s="15"/>
      <c r="M58" s="15">
        <f t="shared" si="5"/>
        <v>88286</v>
      </c>
    </row>
    <row r="59" spans="1:13" ht="15.75">
      <c r="A59" s="10" t="s">
        <v>116</v>
      </c>
      <c r="B59" s="31" t="s">
        <v>117</v>
      </c>
      <c r="C59" s="15">
        <v>18000</v>
      </c>
      <c r="D59" s="15"/>
      <c r="E59" s="15">
        <f t="shared" si="3"/>
        <v>18000</v>
      </c>
      <c r="F59" s="15">
        <v>20743</v>
      </c>
      <c r="G59" s="15"/>
      <c r="H59" s="15">
        <v>19350</v>
      </c>
      <c r="I59" s="15"/>
      <c r="J59" s="15">
        <f t="shared" si="4"/>
        <v>19350</v>
      </c>
      <c r="K59" s="15">
        <v>20743</v>
      </c>
      <c r="L59" s="15"/>
      <c r="M59" s="15">
        <f t="shared" si="5"/>
        <v>20743</v>
      </c>
    </row>
    <row r="60" spans="1:13" ht="15.75">
      <c r="A60" s="10" t="s">
        <v>118</v>
      </c>
      <c r="B60" s="31" t="s">
        <v>119</v>
      </c>
      <c r="C60" s="15">
        <v>227149</v>
      </c>
      <c r="D60" s="15"/>
      <c r="E60" s="15">
        <f t="shared" si="3"/>
        <v>227149</v>
      </c>
      <c r="F60" s="15">
        <f>209633+26600</f>
        <v>236233</v>
      </c>
      <c r="G60" s="15"/>
      <c r="H60" s="15">
        <v>221147</v>
      </c>
      <c r="I60" s="15"/>
      <c r="J60" s="15">
        <f t="shared" si="4"/>
        <v>221147</v>
      </c>
      <c r="K60" s="15">
        <v>236233</v>
      </c>
      <c r="L60" s="15"/>
      <c r="M60" s="15">
        <f t="shared" si="5"/>
        <v>236233</v>
      </c>
    </row>
    <row r="61" spans="1:13" ht="31.5">
      <c r="A61" s="10" t="s">
        <v>121</v>
      </c>
      <c r="B61" s="31" t="s">
        <v>120</v>
      </c>
      <c r="C61" s="15">
        <v>335644</v>
      </c>
      <c r="D61" s="15">
        <f>227525+252860+877</f>
        <v>481262</v>
      </c>
      <c r="E61" s="15">
        <f t="shared" si="3"/>
        <v>816906</v>
      </c>
      <c r="F61" s="15">
        <f>340645+62173</f>
        <v>402818</v>
      </c>
      <c r="G61" s="15">
        <v>3608</v>
      </c>
      <c r="H61" s="15">
        <v>379152</v>
      </c>
      <c r="I61" s="15"/>
      <c r="J61" s="15">
        <f t="shared" si="4"/>
        <v>379152</v>
      </c>
      <c r="K61" s="15">
        <v>406426</v>
      </c>
      <c r="L61" s="15"/>
      <c r="M61" s="15">
        <f t="shared" si="5"/>
        <v>406426</v>
      </c>
    </row>
    <row r="62" spans="1:13" s="16" customFormat="1" ht="15.75">
      <c r="A62" s="9" t="s">
        <v>78</v>
      </c>
      <c r="B62" s="32" t="s">
        <v>32</v>
      </c>
      <c r="C62" s="14">
        <v>1961577</v>
      </c>
      <c r="D62" s="14">
        <f>SUM(D63:D67)</f>
        <v>-11044</v>
      </c>
      <c r="E62" s="14">
        <f t="shared" si="3"/>
        <v>1950533</v>
      </c>
      <c r="F62" s="14">
        <f>SUM(F63:F67)</f>
        <v>2243994</v>
      </c>
      <c r="G62" s="14">
        <f>SUM(G63:G67)</f>
        <v>147170</v>
      </c>
      <c r="H62" s="14">
        <v>2145414</v>
      </c>
      <c r="I62" s="14">
        <f>SUM(I63:I67)</f>
        <v>0</v>
      </c>
      <c r="J62" s="14">
        <f t="shared" si="4"/>
        <v>2145414</v>
      </c>
      <c r="K62" s="14">
        <v>2391164</v>
      </c>
      <c r="L62" s="14">
        <f>SUM(L63:L67)</f>
        <v>0</v>
      </c>
      <c r="M62" s="14">
        <f t="shared" si="5"/>
        <v>2391164</v>
      </c>
    </row>
    <row r="63" spans="1:13" ht="15.75">
      <c r="A63" s="10">
        <v>1001</v>
      </c>
      <c r="B63" s="31" t="s">
        <v>33</v>
      </c>
      <c r="C63" s="15">
        <v>45194</v>
      </c>
      <c r="D63" s="15">
        <v>-4687</v>
      </c>
      <c r="E63" s="15">
        <f t="shared" si="3"/>
        <v>40507</v>
      </c>
      <c r="F63" s="15">
        <v>54677</v>
      </c>
      <c r="G63" s="15"/>
      <c r="H63" s="15">
        <v>51004</v>
      </c>
      <c r="I63" s="15"/>
      <c r="J63" s="15">
        <f t="shared" si="4"/>
        <v>51004</v>
      </c>
      <c r="K63" s="15">
        <v>54677</v>
      </c>
      <c r="L63" s="15"/>
      <c r="M63" s="15">
        <f t="shared" si="5"/>
        <v>54677</v>
      </c>
    </row>
    <row r="64" spans="1:13" ht="15.75">
      <c r="A64" s="10">
        <v>1002</v>
      </c>
      <c r="B64" s="31" t="s">
        <v>34</v>
      </c>
      <c r="C64" s="15">
        <v>865786</v>
      </c>
      <c r="D64" s="15">
        <v>-58811</v>
      </c>
      <c r="E64" s="15">
        <f t="shared" si="3"/>
        <v>806975</v>
      </c>
      <c r="F64" s="15">
        <v>974348</v>
      </c>
      <c r="G64" s="15"/>
      <c r="H64" s="15">
        <v>908906</v>
      </c>
      <c r="I64" s="15"/>
      <c r="J64" s="15">
        <f t="shared" si="4"/>
        <v>908906</v>
      </c>
      <c r="K64" s="15">
        <v>974348</v>
      </c>
      <c r="L64" s="15"/>
      <c r="M64" s="15">
        <f t="shared" si="5"/>
        <v>974348</v>
      </c>
    </row>
    <row r="65" spans="1:13" s="17" customFormat="1" ht="15.75">
      <c r="A65" s="10">
        <v>1003</v>
      </c>
      <c r="B65" s="31" t="s">
        <v>35</v>
      </c>
      <c r="C65" s="15">
        <v>958944</v>
      </c>
      <c r="D65" s="15">
        <f>146222+7484-101677</f>
        <v>52029</v>
      </c>
      <c r="E65" s="15">
        <f t="shared" si="3"/>
        <v>1010973</v>
      </c>
      <c r="F65" s="15">
        <f>339727+1000+533753+222278</f>
        <v>1096758</v>
      </c>
      <c r="G65" s="15">
        <f>34570+112600</f>
        <v>147170</v>
      </c>
      <c r="H65" s="15">
        <v>1075240</v>
      </c>
      <c r="I65" s="15"/>
      <c r="J65" s="15">
        <f t="shared" si="4"/>
        <v>1075240</v>
      </c>
      <c r="K65" s="15">
        <v>1243928</v>
      </c>
      <c r="L65" s="15"/>
      <c r="M65" s="15">
        <f t="shared" si="5"/>
        <v>1243928</v>
      </c>
    </row>
    <row r="66" spans="1:13" ht="15.75">
      <c r="A66" s="10">
        <v>1004</v>
      </c>
      <c r="B66" s="31" t="s">
        <v>136</v>
      </c>
      <c r="C66" s="15">
        <v>41535</v>
      </c>
      <c r="D66" s="15">
        <v>425</v>
      </c>
      <c r="E66" s="15">
        <f t="shared" si="3"/>
        <v>41960</v>
      </c>
      <c r="F66" s="15">
        <v>49246</v>
      </c>
      <c r="G66" s="15"/>
      <c r="H66" s="15">
        <v>45931</v>
      </c>
      <c r="I66" s="15"/>
      <c r="J66" s="15">
        <f t="shared" si="4"/>
        <v>45931</v>
      </c>
      <c r="K66" s="15">
        <v>49246</v>
      </c>
      <c r="L66" s="15"/>
      <c r="M66" s="15">
        <f t="shared" si="5"/>
        <v>49246</v>
      </c>
    </row>
    <row r="67" spans="1:13" ht="15.75">
      <c r="A67" s="10">
        <v>1006</v>
      </c>
      <c r="B67" s="31" t="s">
        <v>36</v>
      </c>
      <c r="C67" s="15">
        <v>50118</v>
      </c>
      <c r="D67" s="15"/>
      <c r="E67" s="15">
        <f t="shared" si="3"/>
        <v>50118</v>
      </c>
      <c r="F67" s="15">
        <v>68965</v>
      </c>
      <c r="G67" s="15"/>
      <c r="H67" s="15">
        <v>64333</v>
      </c>
      <c r="I67" s="15"/>
      <c r="J67" s="15">
        <f t="shared" si="4"/>
        <v>64333</v>
      </c>
      <c r="K67" s="15">
        <v>68965</v>
      </c>
      <c r="L67" s="15"/>
      <c r="M67" s="15">
        <f t="shared" si="5"/>
        <v>68965</v>
      </c>
    </row>
    <row r="68" spans="1:13" s="16" customFormat="1" ht="15.75">
      <c r="A68" s="9">
        <v>1100</v>
      </c>
      <c r="B68" s="33" t="s">
        <v>37</v>
      </c>
      <c r="C68" s="14">
        <v>18852238</v>
      </c>
      <c r="D68" s="14">
        <f>SUM(D69:D73)</f>
        <v>2599133</v>
      </c>
      <c r="E68" s="14">
        <f t="shared" si="3"/>
        <v>21451371</v>
      </c>
      <c r="F68" s="14">
        <f>SUM(F69:F73)</f>
        <v>19804802</v>
      </c>
      <c r="G68" s="14">
        <f>SUM(G69:G73)</f>
        <v>-1826648</v>
      </c>
      <c r="H68" s="14">
        <v>18972639</v>
      </c>
      <c r="I68" s="14">
        <f>SUM(I69:I73)</f>
        <v>0</v>
      </c>
      <c r="J68" s="14">
        <f t="shared" si="4"/>
        <v>18972639</v>
      </c>
      <c r="K68" s="14">
        <v>17978154</v>
      </c>
      <c r="L68" s="14">
        <f>SUM(L69:L73)</f>
        <v>0</v>
      </c>
      <c r="M68" s="14">
        <f t="shared" si="5"/>
        <v>17978154</v>
      </c>
    </row>
    <row r="69" spans="1:13" ht="31.5">
      <c r="A69" s="10">
        <v>1101</v>
      </c>
      <c r="B69" s="31" t="s">
        <v>129</v>
      </c>
      <c r="C69" s="15">
        <v>2540778</v>
      </c>
      <c r="D69" s="15">
        <v>17215</v>
      </c>
      <c r="E69" s="15">
        <f t="shared" si="3"/>
        <v>2557993</v>
      </c>
      <c r="F69" s="15">
        <v>4514001</v>
      </c>
      <c r="G69" s="15">
        <v>-1650770</v>
      </c>
      <c r="H69" s="15">
        <v>2654793</v>
      </c>
      <c r="I69" s="15"/>
      <c r="J69" s="15">
        <f t="shared" si="4"/>
        <v>2654793</v>
      </c>
      <c r="K69" s="15">
        <v>2863231</v>
      </c>
      <c r="L69" s="15"/>
      <c r="M69" s="15">
        <f t="shared" si="5"/>
        <v>2863231</v>
      </c>
    </row>
    <row r="70" spans="1:13" ht="32.25" customHeight="1">
      <c r="A70" s="10" t="s">
        <v>122</v>
      </c>
      <c r="B70" s="34" t="s">
        <v>130</v>
      </c>
      <c r="C70" s="15">
        <v>5180742</v>
      </c>
      <c r="D70" s="15">
        <f>13480+87794+266+609961+976750+10575+35000</f>
        <v>1733826</v>
      </c>
      <c r="E70" s="15">
        <f t="shared" si="3"/>
        <v>6914568</v>
      </c>
      <c r="F70" s="15">
        <f>1741870+259760+5000+199665+16000</f>
        <v>2222295</v>
      </c>
      <c r="G70" s="15">
        <f>-1050-112600-34570-27658</f>
        <v>-175878</v>
      </c>
      <c r="H70" s="15">
        <v>4194881</v>
      </c>
      <c r="I70" s="15"/>
      <c r="J70" s="15">
        <f t="shared" si="4"/>
        <v>4194881</v>
      </c>
      <c r="K70" s="15">
        <v>2046417</v>
      </c>
      <c r="L70" s="15"/>
      <c r="M70" s="15">
        <f t="shared" si="5"/>
        <v>2046417</v>
      </c>
    </row>
    <row r="71" spans="1:13" ht="30.75" customHeight="1">
      <c r="A71" s="10" t="s">
        <v>123</v>
      </c>
      <c r="B71" s="34" t="s">
        <v>131</v>
      </c>
      <c r="C71" s="15">
        <v>8360071</v>
      </c>
      <c r="D71" s="15">
        <f>274352+101+313313+66285</f>
        <v>654051</v>
      </c>
      <c r="E71" s="15">
        <f t="shared" si="3"/>
        <v>9014122</v>
      </c>
      <c r="F71" s="15">
        <f>2817615+11354+6899945+338114</f>
        <v>10067028</v>
      </c>
      <c r="G71" s="15"/>
      <c r="H71" s="15">
        <v>9224989</v>
      </c>
      <c r="I71" s="15"/>
      <c r="J71" s="15">
        <f t="shared" si="4"/>
        <v>9224989</v>
      </c>
      <c r="K71" s="15">
        <v>10067028</v>
      </c>
      <c r="L71" s="15"/>
      <c r="M71" s="15">
        <f t="shared" si="5"/>
        <v>10067028</v>
      </c>
    </row>
    <row r="72" spans="1:13" ht="15.75">
      <c r="A72" s="10" t="s">
        <v>124</v>
      </c>
      <c r="B72" s="31" t="s">
        <v>125</v>
      </c>
      <c r="C72" s="15">
        <v>768262</v>
      </c>
      <c r="D72" s="15">
        <v>-17215</v>
      </c>
      <c r="E72" s="15">
        <f t="shared" si="3"/>
        <v>751047</v>
      </c>
      <c r="F72" s="15">
        <f>407620+50341+5670</f>
        <v>463631</v>
      </c>
      <c r="G72" s="15"/>
      <c r="H72" s="15">
        <v>529775</v>
      </c>
      <c r="I72" s="15"/>
      <c r="J72" s="15">
        <f t="shared" si="4"/>
        <v>529775</v>
      </c>
      <c r="K72" s="15">
        <v>463631</v>
      </c>
      <c r="L72" s="15"/>
      <c r="M72" s="15">
        <f t="shared" si="5"/>
        <v>463631</v>
      </c>
    </row>
    <row r="73" spans="1:13" s="17" customFormat="1" ht="31.5">
      <c r="A73" s="10" t="s">
        <v>126</v>
      </c>
      <c r="B73" s="31" t="s">
        <v>127</v>
      </c>
      <c r="C73" s="15">
        <v>2002385</v>
      </c>
      <c r="D73" s="15">
        <f>199949+11307</f>
        <v>211256</v>
      </c>
      <c r="E73" s="15">
        <f t="shared" si="3"/>
        <v>2213641</v>
      </c>
      <c r="F73" s="15">
        <f>2520469+17378</f>
        <v>2537847</v>
      </c>
      <c r="G73" s="15"/>
      <c r="H73" s="15">
        <v>2368201</v>
      </c>
      <c r="I73" s="15"/>
      <c r="J73" s="15">
        <f t="shared" si="4"/>
        <v>2368201</v>
      </c>
      <c r="K73" s="15">
        <v>2537847</v>
      </c>
      <c r="L73" s="15"/>
      <c r="M73" s="15">
        <f t="shared" si="5"/>
        <v>2537847</v>
      </c>
    </row>
    <row r="74" spans="1:13" s="6" customFormat="1" ht="15.75">
      <c r="A74" s="38" t="s">
        <v>132</v>
      </c>
      <c r="B74" s="38"/>
      <c r="C74" s="14">
        <v>38314902</v>
      </c>
      <c r="D74" s="14">
        <f>D9+D19+D21+D25+D35+D39+D41+D48+D52+D62+D68</f>
        <v>3728541</v>
      </c>
      <c r="E74" s="14">
        <f t="shared" si="3"/>
        <v>42043443</v>
      </c>
      <c r="F74" s="14">
        <f>F9+F19+F21+F25+F35+F39+F41+F48+F52+F62+F68</f>
        <v>37878672</v>
      </c>
      <c r="G74" s="14">
        <f>G9+G19+G21+G25+G35+G39+G41+G48+G52+G62+G68</f>
        <v>-1650770</v>
      </c>
      <c r="H74" s="14">
        <v>38760623</v>
      </c>
      <c r="I74" s="14">
        <f>I9+I19+I21+I25+I35+I39+I41+I48+I52+I62+I68</f>
        <v>0</v>
      </c>
      <c r="J74" s="14">
        <f t="shared" si="4"/>
        <v>38760623</v>
      </c>
      <c r="K74" s="14">
        <v>36227902</v>
      </c>
      <c r="L74" s="14">
        <f>L9+L19+L21+L25+L35+L39+L41+L48+L52+L62+L68</f>
        <v>0</v>
      </c>
      <c r="M74" s="14">
        <f t="shared" si="5"/>
        <v>36227902</v>
      </c>
    </row>
    <row r="75" spans="1:13" s="6" customFormat="1" ht="15.75">
      <c r="A75" s="39" t="s">
        <v>146</v>
      </c>
      <c r="B75" s="40"/>
      <c r="C75" s="22"/>
      <c r="D75" s="22"/>
      <c r="E75" s="22"/>
      <c r="F75" s="22">
        <v>2042950</v>
      </c>
      <c r="G75" s="22">
        <v>1650770</v>
      </c>
      <c r="H75" s="22">
        <v>2463450</v>
      </c>
      <c r="I75" s="22"/>
      <c r="J75" s="22">
        <f t="shared" si="4"/>
        <v>2463450</v>
      </c>
      <c r="K75" s="22">
        <v>3693720</v>
      </c>
      <c r="L75" s="22"/>
      <c r="M75" s="22">
        <f t="shared" si="5"/>
        <v>3693720</v>
      </c>
    </row>
    <row r="76" spans="1:13" s="6" customFormat="1" ht="33.75" customHeight="1">
      <c r="A76" s="39" t="s">
        <v>133</v>
      </c>
      <c r="B76" s="40"/>
      <c r="C76" s="19">
        <v>825203</v>
      </c>
      <c r="D76" s="19">
        <f>62619+28937+96+254</f>
        <v>91906</v>
      </c>
      <c r="E76" s="19">
        <f t="shared" si="3"/>
        <v>917109</v>
      </c>
      <c r="F76" s="19">
        <f>3735+116737+797068+9880</f>
        <v>927420</v>
      </c>
      <c r="G76" s="19"/>
      <c r="H76" s="19">
        <v>876720</v>
      </c>
      <c r="I76" s="19"/>
      <c r="J76" s="19">
        <f t="shared" si="4"/>
        <v>876720</v>
      </c>
      <c r="K76" s="19">
        <v>927420</v>
      </c>
      <c r="L76" s="19"/>
      <c r="M76" s="19">
        <f t="shared" si="5"/>
        <v>927420</v>
      </c>
    </row>
    <row r="77" spans="1:14" s="6" customFormat="1" ht="15.75">
      <c r="A77" s="38" t="s">
        <v>39</v>
      </c>
      <c r="B77" s="38"/>
      <c r="C77" s="22">
        <f>38755530+384575</f>
        <v>39140105</v>
      </c>
      <c r="D77" s="22">
        <f>D76+D74+D75</f>
        <v>3820447</v>
      </c>
      <c r="E77" s="22">
        <f t="shared" si="3"/>
        <v>42960552</v>
      </c>
      <c r="F77" s="22">
        <f>F76+F74+F75</f>
        <v>40849042</v>
      </c>
      <c r="G77" s="22">
        <f>G76+G74+G75</f>
        <v>0</v>
      </c>
      <c r="H77" s="22">
        <v>42100793</v>
      </c>
      <c r="I77" s="22">
        <f>I76+I74+I75</f>
        <v>0</v>
      </c>
      <c r="J77" s="22">
        <f t="shared" si="4"/>
        <v>42100793</v>
      </c>
      <c r="K77" s="22">
        <v>40849042</v>
      </c>
      <c r="L77" s="22">
        <f>L76+L74+L75</f>
        <v>0</v>
      </c>
      <c r="M77" s="22">
        <f t="shared" si="5"/>
        <v>40849042</v>
      </c>
      <c r="N77" s="21"/>
    </row>
    <row r="78" spans="1:13" s="6" customFormat="1" ht="15.75">
      <c r="A78" s="36" t="s">
        <v>40</v>
      </c>
      <c r="B78" s="37"/>
      <c r="C78" s="14"/>
      <c r="D78" s="14">
        <f>'[2]Лист1'!$D$125-D77</f>
        <v>-1197460</v>
      </c>
      <c r="E78" s="14">
        <f>'[2]Лист1'!$E$125-E77</f>
        <v>-1197460</v>
      </c>
      <c r="F78" s="14">
        <f>'[1]Лист1'!$E$106-F77</f>
        <v>-2153512</v>
      </c>
      <c r="G78" s="14"/>
      <c r="H78" s="14">
        <v>178682</v>
      </c>
      <c r="I78" s="14"/>
      <c r="J78" s="14">
        <f t="shared" si="4"/>
        <v>178682</v>
      </c>
      <c r="K78" s="14">
        <v>38387</v>
      </c>
      <c r="L78" s="14"/>
      <c r="M78" s="14">
        <f t="shared" si="5"/>
        <v>38387</v>
      </c>
    </row>
    <row r="79" spans="3:14" ht="15.75">
      <c r="C79" s="13"/>
      <c r="D79" s="13"/>
      <c r="E79" s="13"/>
      <c r="I79" s="13"/>
      <c r="J79" s="13"/>
      <c r="N79" s="18"/>
    </row>
    <row r="80" ht="15.75" hidden="1">
      <c r="B80" s="3" t="s">
        <v>81</v>
      </c>
    </row>
    <row r="81" ht="15.75" hidden="1">
      <c r="B81" s="3" t="s">
        <v>83</v>
      </c>
    </row>
    <row r="82" ht="15.75" hidden="1">
      <c r="B82" s="3" t="s">
        <v>84</v>
      </c>
    </row>
    <row r="83" ht="15.75" hidden="1">
      <c r="B83" s="3" t="s">
        <v>85</v>
      </c>
    </row>
    <row r="84" ht="15.75" hidden="1">
      <c r="B84" s="3" t="s">
        <v>86</v>
      </c>
    </row>
    <row r="85" ht="15.75" hidden="1">
      <c r="B85" s="3" t="s">
        <v>87</v>
      </c>
    </row>
    <row r="86" ht="15.75" hidden="1">
      <c r="B86" s="3" t="s">
        <v>88</v>
      </c>
    </row>
    <row r="87" ht="15.75" hidden="1">
      <c r="B87" s="3" t="s">
        <v>89</v>
      </c>
    </row>
    <row r="88" ht="15.75" hidden="1">
      <c r="B88" s="3" t="s">
        <v>90</v>
      </c>
    </row>
    <row r="89" ht="15.75" hidden="1">
      <c r="B89" s="3" t="s">
        <v>82</v>
      </c>
    </row>
    <row r="90" spans="3:13" ht="15.75" hidden="1">
      <c r="C90" s="22"/>
      <c r="D90" s="22"/>
      <c r="E90" s="22"/>
      <c r="F90" s="22">
        <v>40639042</v>
      </c>
      <c r="G90" s="27"/>
      <c r="H90" s="27"/>
      <c r="I90" s="22"/>
      <c r="J90" s="27"/>
      <c r="K90" s="27"/>
      <c r="L90" s="27"/>
      <c r="M90" s="27"/>
    </row>
    <row r="91" spans="2:6" ht="15.75" hidden="1">
      <c r="B91" s="20" t="s">
        <v>93</v>
      </c>
      <c r="F91" s="1">
        <v>6750231</v>
      </c>
    </row>
    <row r="92" spans="2:6" ht="15.75" hidden="1">
      <c r="B92" s="20" t="s">
        <v>86</v>
      </c>
      <c r="F92" s="1">
        <f>1128658+116737</f>
        <v>1245395</v>
      </c>
    </row>
    <row r="93" spans="2:6" ht="15.75" hidden="1">
      <c r="B93" s="20" t="s">
        <v>92</v>
      </c>
      <c r="F93" s="1">
        <v>17242145</v>
      </c>
    </row>
    <row r="94" spans="2:6" ht="15.75" hidden="1">
      <c r="B94" s="20" t="s">
        <v>91</v>
      </c>
      <c r="F94" s="1">
        <f>3148705+9880</f>
        <v>3158585</v>
      </c>
    </row>
    <row r="95" spans="2:6" ht="15.75" hidden="1">
      <c r="B95" s="20" t="s">
        <v>95</v>
      </c>
      <c r="F95" s="1">
        <v>4614001</v>
      </c>
    </row>
    <row r="96" spans="2:6" ht="15.75" hidden="1">
      <c r="B96" s="20" t="s">
        <v>142</v>
      </c>
      <c r="F96" s="1">
        <v>1490669</v>
      </c>
    </row>
    <row r="97" spans="2:6" ht="15.75" hidden="1">
      <c r="B97" s="20" t="s">
        <v>143</v>
      </c>
      <c r="F97" s="1">
        <v>1343309</v>
      </c>
    </row>
    <row r="98" spans="2:6" ht="15.75" hidden="1">
      <c r="B98" s="20" t="s">
        <v>144</v>
      </c>
      <c r="F98" s="1">
        <v>990</v>
      </c>
    </row>
    <row r="99" spans="2:13" ht="15.75" hidden="1">
      <c r="B99" s="20" t="s">
        <v>145</v>
      </c>
      <c r="C99" s="5"/>
      <c r="D99" s="5"/>
      <c r="E99" s="5"/>
      <c r="F99" s="5">
        <v>1935193</v>
      </c>
      <c r="G99" s="28"/>
      <c r="H99" s="28"/>
      <c r="I99" s="5"/>
      <c r="J99" s="28"/>
      <c r="K99" s="28"/>
      <c r="L99" s="28"/>
      <c r="M99" s="28"/>
    </row>
    <row r="100" spans="2:6" ht="15.75" hidden="1">
      <c r="B100" s="20" t="s">
        <v>139</v>
      </c>
      <c r="F100" s="1">
        <f>2858524</f>
        <v>2858524</v>
      </c>
    </row>
    <row r="101" spans="2:13" ht="15.75" hidden="1">
      <c r="B101" s="20" t="s">
        <v>94</v>
      </c>
      <c r="C101" s="18"/>
      <c r="D101" s="18"/>
      <c r="E101" s="18"/>
      <c r="F101" s="18">
        <f>SUM(F91:F100)</f>
        <v>40639042</v>
      </c>
      <c r="G101" s="18"/>
      <c r="H101" s="18"/>
      <c r="I101" s="18"/>
      <c r="J101" s="18"/>
      <c r="K101" s="18"/>
      <c r="L101" s="18"/>
      <c r="M101" s="18"/>
    </row>
    <row r="102" spans="3:13" ht="15.75" hidden="1">
      <c r="C102" s="18"/>
      <c r="D102" s="18"/>
      <c r="E102" s="18"/>
      <c r="F102" s="18">
        <f>F77-F101</f>
        <v>210000</v>
      </c>
      <c r="G102" s="18"/>
      <c r="H102" s="18"/>
      <c r="I102" s="18"/>
      <c r="J102" s="18"/>
      <c r="K102" s="18"/>
      <c r="L102" s="18"/>
      <c r="M102" s="18"/>
    </row>
    <row r="103" spans="2:13" ht="15.75" hidden="1">
      <c r="B103" s="2" t="s">
        <v>147</v>
      </c>
      <c r="C103" s="18"/>
      <c r="D103" s="18"/>
      <c r="E103" s="18"/>
      <c r="F103" s="18">
        <v>77464</v>
      </c>
      <c r="G103" s="18"/>
      <c r="H103" s="18"/>
      <c r="I103" s="18"/>
      <c r="J103" s="18"/>
      <c r="K103" s="18"/>
      <c r="L103" s="18"/>
      <c r="M103" s="18"/>
    </row>
    <row r="104" spans="2:13" ht="15.75" hidden="1">
      <c r="B104" s="2" t="s">
        <v>148</v>
      </c>
      <c r="F104" s="18">
        <v>17378</v>
      </c>
      <c r="G104" s="18"/>
      <c r="H104" s="18"/>
      <c r="K104" s="18"/>
      <c r="L104" s="18"/>
      <c r="M104" s="18"/>
    </row>
    <row r="105" spans="2:13" ht="15.75" hidden="1">
      <c r="B105" s="2" t="s">
        <v>150</v>
      </c>
      <c r="F105" s="18"/>
      <c r="G105" s="18"/>
      <c r="H105" s="18"/>
      <c r="K105" s="18"/>
      <c r="L105" s="18"/>
      <c r="M105" s="18"/>
    </row>
    <row r="106" spans="2:13" ht="15.75" hidden="1">
      <c r="B106" s="3" t="s">
        <v>151</v>
      </c>
      <c r="F106" s="18"/>
      <c r="G106" s="18"/>
      <c r="H106" s="18"/>
      <c r="K106" s="18"/>
      <c r="L106" s="18"/>
      <c r="M106" s="18"/>
    </row>
    <row r="107" spans="2:13" ht="15.75" hidden="1">
      <c r="B107" s="3" t="s">
        <v>152</v>
      </c>
      <c r="F107" s="18"/>
      <c r="G107" s="18"/>
      <c r="H107" s="18"/>
      <c r="K107" s="18"/>
      <c r="L107" s="18"/>
      <c r="M107" s="18"/>
    </row>
    <row r="108" spans="2:13" ht="15.75" hidden="1">
      <c r="B108" s="3" t="s">
        <v>139</v>
      </c>
      <c r="F108" s="18"/>
      <c r="G108" s="18"/>
      <c r="H108" s="18"/>
      <c r="K108" s="18"/>
      <c r="L108" s="18"/>
      <c r="M108" s="18"/>
    </row>
    <row r="109" spans="2:13" ht="15.75" hidden="1">
      <c r="B109" s="3" t="s">
        <v>153</v>
      </c>
      <c r="F109" s="18"/>
      <c r="G109" s="18"/>
      <c r="H109" s="18"/>
      <c r="K109" s="18"/>
      <c r="L109" s="18"/>
      <c r="M109" s="18"/>
    </row>
    <row r="110" spans="2:13" ht="15.75" hidden="1">
      <c r="B110" s="3" t="s">
        <v>149</v>
      </c>
      <c r="C110" s="18"/>
      <c r="D110" s="18"/>
      <c r="E110" s="18"/>
      <c r="F110" s="18">
        <f>F104+F103+F90+F105+F106+F107+F108</f>
        <v>40733884</v>
      </c>
      <c r="G110" s="18"/>
      <c r="H110" s="18"/>
      <c r="I110" s="18"/>
      <c r="J110" s="18"/>
      <c r="K110" s="18"/>
      <c r="L110" s="18"/>
      <c r="M110" s="18"/>
    </row>
    <row r="111" spans="3:13" ht="15.75" hidden="1">
      <c r="C111" s="18"/>
      <c r="D111" s="18"/>
      <c r="E111" s="18"/>
      <c r="F111" s="18">
        <f>F110-F77</f>
        <v>-115158</v>
      </c>
      <c r="G111" s="18"/>
      <c r="H111" s="18"/>
      <c r="I111" s="18"/>
      <c r="J111" s="18"/>
      <c r="K111" s="18"/>
      <c r="L111" s="18"/>
      <c r="M111" s="18"/>
    </row>
    <row r="112" ht="15.75" hidden="1"/>
    <row r="113" ht="15.75" hidden="1">
      <c r="F113" s="1">
        <v>-107757</v>
      </c>
    </row>
    <row r="114" spans="3:10" ht="15.75" hidden="1">
      <c r="C114" s="18"/>
      <c r="D114" s="18"/>
      <c r="E114" s="18"/>
      <c r="I114" s="18"/>
      <c r="J114" s="18"/>
    </row>
    <row r="115" spans="3:4" ht="15.75">
      <c r="C115" s="1" t="s">
        <v>163</v>
      </c>
      <c r="D115" s="1">
        <f>678419+252860</f>
        <v>931279</v>
      </c>
    </row>
    <row r="116" spans="3:13" ht="15.75">
      <c r="C116" s="1" t="s">
        <v>164</v>
      </c>
      <c r="D116" s="1">
        <v>150868</v>
      </c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3:4" ht="15.75">
      <c r="C117" s="1" t="s">
        <v>86</v>
      </c>
      <c r="D117" s="1">
        <v>71681</v>
      </c>
    </row>
    <row r="118" spans="2:13" ht="15.75">
      <c r="B118" s="24"/>
      <c r="C118" s="25" t="s">
        <v>84</v>
      </c>
      <c r="D118" s="25">
        <v>19093</v>
      </c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2:13" ht="15.75">
      <c r="B119" s="24"/>
      <c r="C119" s="26" t="s">
        <v>165</v>
      </c>
      <c r="D119" s="26">
        <v>229133</v>
      </c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2:13" ht="15.75">
      <c r="B120" s="24"/>
      <c r="C120" s="26" t="s">
        <v>95</v>
      </c>
      <c r="D120" s="26">
        <v>0</v>
      </c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2:13" ht="15.75">
      <c r="B121" s="24"/>
      <c r="C121" s="26" t="s">
        <v>166</v>
      </c>
      <c r="D121" s="26">
        <v>813750</v>
      </c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2:13" ht="15.75">
      <c r="B122" s="24"/>
      <c r="C122" s="26" t="s">
        <v>167</v>
      </c>
      <c r="D122" s="26">
        <v>1604643</v>
      </c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2:13" ht="15.75">
      <c r="B123" s="24"/>
      <c r="C123" s="26" t="s">
        <v>94</v>
      </c>
      <c r="D123" s="26">
        <f>SUM(D115:D122)</f>
        <v>3820447</v>
      </c>
      <c r="E123" s="26"/>
      <c r="F123" s="26"/>
      <c r="G123" s="26"/>
      <c r="H123" s="26"/>
      <c r="I123" s="26"/>
      <c r="J123" s="26"/>
      <c r="K123" s="26"/>
      <c r="L123" s="26"/>
      <c r="M123" s="26"/>
    </row>
    <row r="125" ht="17.25" customHeight="1"/>
    <row r="126" ht="18" customHeight="1"/>
  </sheetData>
  <mergeCells count="10">
    <mergeCell ref="A3:K3"/>
    <mergeCell ref="A2:K2"/>
    <mergeCell ref="A1:K1"/>
    <mergeCell ref="A78:B78"/>
    <mergeCell ref="A74:B74"/>
    <mergeCell ref="A4:B4"/>
    <mergeCell ref="A77:B77"/>
    <mergeCell ref="A76:B76"/>
    <mergeCell ref="A75:B75"/>
    <mergeCell ref="A6:M6"/>
  </mergeCells>
  <printOptions horizontalCentered="1"/>
  <pageMargins left="0.15748031496062992" right="0.15748031496062992" top="0.7874015748031497" bottom="0.7874015748031497" header="0.3937007874015748" footer="0.15748031496062992"/>
  <pageSetup fitToHeight="0" fitToWidth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2009-03-31T09:21:43Z</cp:lastPrinted>
  <dcterms:created xsi:type="dcterms:W3CDTF">2004-11-13T08:03:22Z</dcterms:created>
  <dcterms:modified xsi:type="dcterms:W3CDTF">2009-04-03T11:06:21Z</dcterms:modified>
  <cp:category/>
  <cp:version/>
  <cp:contentType/>
  <cp:contentStatus/>
</cp:coreProperties>
</file>